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nesic.k/Desktop/210202_meRAD51C_manuscript/Cancer Research Submission/Cancer Research resubmission/updates/Final docs/reviewer response 2 - manuscript/FINAL_SUB/FINAL_SUB_2/"/>
    </mc:Choice>
  </mc:AlternateContent>
  <xr:revisionPtr revIDLastSave="0" documentId="8_{76312FDB-E0EA-B84A-94D1-1B81AC788A49}" xr6:coauthVersionLast="47" xr6:coauthVersionMax="47" xr10:uidLastSave="{00000000-0000-0000-0000-000000000000}"/>
  <bookViews>
    <workbookView xWindow="0" yWindow="460" windowWidth="25600" windowHeight="14500" activeTab="4" xr2:uid="{65C606F5-0DD8-E34B-A53E-4E4A263AD67D}"/>
  </bookViews>
  <sheets>
    <sheet name="Supp. Table 1" sheetId="1" r:id="rId1"/>
    <sheet name="Supp. Table 2" sheetId="3" r:id="rId2"/>
    <sheet name="Supp. Table 3" sheetId="2" r:id="rId3"/>
    <sheet name="Supp. Table 4" sheetId="7" r:id="rId4"/>
    <sheet name="Supp. Table 5" sheetId="5" r:id="rId5"/>
    <sheet name="Supp. Table 6" sheetId="4" r:id="rId6"/>
    <sheet name="Supp. Table 7" sheetId="6" r:id="rId7"/>
    <sheet name="Supp. Table 8"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5" l="1"/>
  <c r="I13" i="5"/>
  <c r="E13" i="5"/>
  <c r="C13" i="5"/>
  <c r="I14" i="6" l="1"/>
  <c r="I13" i="6"/>
  <c r="I10" i="6"/>
  <c r="K12" i="5" l="1"/>
  <c r="I12" i="5"/>
  <c r="G12" i="5"/>
  <c r="E12" i="5"/>
  <c r="C12" i="5"/>
  <c r="K11" i="5"/>
  <c r="I11" i="5"/>
  <c r="G11" i="5"/>
  <c r="E11" i="5"/>
  <c r="C11" i="5"/>
  <c r="K10" i="5"/>
  <c r="I10" i="5"/>
  <c r="G10" i="5"/>
  <c r="E10" i="5"/>
  <c r="C10" i="5"/>
  <c r="K13" i="5"/>
  <c r="K9" i="5"/>
  <c r="I9" i="5"/>
  <c r="G9" i="5"/>
  <c r="E9" i="5"/>
  <c r="C9" i="5"/>
  <c r="K8" i="5"/>
  <c r="I8" i="5"/>
  <c r="G8" i="5"/>
  <c r="E8" i="5"/>
  <c r="C8" i="5"/>
  <c r="K7" i="5"/>
  <c r="K6" i="5"/>
  <c r="I6" i="5"/>
  <c r="G6" i="5"/>
  <c r="E6" i="5"/>
  <c r="C6" i="5"/>
  <c r="K27" i="5"/>
  <c r="I27" i="5"/>
  <c r="G27" i="5"/>
  <c r="E27" i="5"/>
  <c r="C27" i="5"/>
  <c r="K26" i="5"/>
  <c r="I26" i="5"/>
  <c r="G26" i="5"/>
  <c r="E26" i="5"/>
  <c r="C26" i="5"/>
  <c r="K28" i="5"/>
  <c r="I28" i="5"/>
  <c r="G28" i="5"/>
  <c r="E28" i="5"/>
  <c r="C28" i="5"/>
  <c r="K25" i="5"/>
  <c r="I25" i="5"/>
  <c r="G25" i="5"/>
  <c r="E25" i="5"/>
  <c r="C25" i="5"/>
  <c r="K24" i="5"/>
  <c r="I24" i="5"/>
  <c r="G24" i="5"/>
  <c r="E24" i="5"/>
  <c r="C24" i="5"/>
  <c r="K23" i="5"/>
  <c r="I23" i="5"/>
  <c r="G23" i="5"/>
  <c r="E23" i="5"/>
  <c r="C23" i="5"/>
  <c r="K22" i="5"/>
  <c r="I22" i="5"/>
  <c r="G22" i="5"/>
  <c r="E22" i="5"/>
  <c r="C22" i="5"/>
  <c r="K20" i="5"/>
  <c r="I20" i="5"/>
  <c r="G20" i="5"/>
  <c r="E20" i="5"/>
  <c r="C20" i="5"/>
  <c r="K19" i="5"/>
  <c r="I19" i="5"/>
  <c r="G19" i="5"/>
  <c r="E19" i="5"/>
  <c r="C19" i="5"/>
  <c r="K18" i="5"/>
  <c r="I18" i="5"/>
  <c r="G18" i="5"/>
  <c r="E18" i="5"/>
  <c r="C18" i="5"/>
  <c r="K17" i="5"/>
  <c r="I17" i="5"/>
  <c r="G17" i="5"/>
  <c r="E17" i="5"/>
  <c r="K16" i="5"/>
  <c r="I16" i="5"/>
  <c r="G16" i="5"/>
  <c r="E16" i="5"/>
  <c r="C16" i="5"/>
  <c r="K15" i="5"/>
  <c r="I15" i="5"/>
  <c r="G15" i="5"/>
  <c r="E15" i="5"/>
  <c r="C15" i="5"/>
  <c r="I9" i="3" l="1"/>
  <c r="I8" i="3"/>
  <c r="I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 Radke</author>
  </authors>
  <commentList>
    <comment ref="M5" authorId="0" shapeId="0" xr:uid="{AE570B37-0B5B-8646-A92C-9061A0E112E4}">
      <text>
        <r>
          <rPr>
            <b/>
            <sz val="9"/>
            <color rgb="FF000000"/>
            <rFont val="Tahoma"/>
            <family val="2"/>
          </rPr>
          <t>Marc Radke:</t>
        </r>
        <r>
          <rPr>
            <sz val="9"/>
            <color rgb="FF000000"/>
            <rFont val="Tahoma"/>
            <family val="2"/>
          </rPr>
          <t xml:space="preserve">
</t>
        </r>
        <r>
          <rPr>
            <sz val="9"/>
            <color rgb="FF000000"/>
            <rFont val="Tahoma"/>
            <family val="2"/>
          </rPr>
          <t>Ref|Var</t>
        </r>
      </text>
    </comment>
  </commentList>
</comments>
</file>

<file path=xl/sharedStrings.xml><?xml version="1.0" encoding="utf-8"?>
<sst xmlns="http://schemas.openxmlformats.org/spreadsheetml/2006/main" count="587" uniqueCount="276">
  <si>
    <t>Response</t>
  </si>
  <si>
    <t>Median TTH (days)</t>
  </si>
  <si>
    <t>Average TTP (days)</t>
  </si>
  <si>
    <r>
      <rPr>
        <b/>
        <i/>
        <sz val="12"/>
        <color theme="1"/>
        <rFont val="Times New Roman"/>
        <family val="1"/>
      </rPr>
      <t>p</t>
    </r>
    <r>
      <rPr>
        <b/>
        <sz val="12"/>
        <color theme="1"/>
        <rFont val="Times New Roman"/>
        <family val="1"/>
      </rPr>
      <t>-value</t>
    </r>
  </si>
  <si>
    <t>PDX #183 cisplatin response</t>
  </si>
  <si>
    <t>&lt;0.0001</t>
  </si>
  <si>
    <t>PDX #183 vehicle values</t>
  </si>
  <si>
    <t>Responsive (SD)</t>
  </si>
  <si>
    <t>Sensitive (CR)</t>
  </si>
  <si>
    <t>PDX PH039-A vehicle values</t>
  </si>
  <si>
    <t>PDX PH039-A cisplatin response</t>
  </si>
  <si>
    <t>PDX PH039-B vehicle values</t>
  </si>
  <si>
    <t>PDX PH039-B cisplatin response</t>
  </si>
  <si>
    <t>&gt;120</t>
  </si>
  <si>
    <t>Responsive (CR)</t>
  </si>
  <si>
    <t>Variant-type (short variant, CNV,  rearrangement)</t>
  </si>
  <si>
    <t>Gene</t>
  </si>
  <si>
    <t>Transcript</t>
  </si>
  <si>
    <t>c.DNA change</t>
  </si>
  <si>
    <t>Protein change</t>
  </si>
  <si>
    <t>Genomic position (hg19)</t>
  </si>
  <si>
    <t>Coverage (reads)</t>
  </si>
  <si>
    <t>% Variant Allele</t>
  </si>
  <si>
    <t>Copy Number Estimate</t>
  </si>
  <si>
    <t>CNV exons</t>
  </si>
  <si>
    <t>CNV type</t>
  </si>
  <si>
    <t>CNV reads</t>
  </si>
  <si>
    <t>ExAC / 1000 genomes frequencies</t>
  </si>
  <si>
    <t>short-variant</t>
  </si>
  <si>
    <t>TP53</t>
  </si>
  <si>
    <t>NM_000546</t>
  </si>
  <si>
    <t>c.661G&gt;T</t>
  </si>
  <si>
    <t>p.E221X</t>
  </si>
  <si>
    <t>chr17:7578188</t>
  </si>
  <si>
    <t>Absent in both</t>
  </si>
  <si>
    <t>Pathogenic</t>
  </si>
  <si>
    <t>CNV</t>
  </si>
  <si>
    <t>PTEN</t>
  </si>
  <si>
    <t>NM_000314</t>
  </si>
  <si>
    <t>chr10:89592934-89718404</t>
  </si>
  <si>
    <t>1-7</t>
  </si>
  <si>
    <t>LOSS</t>
  </si>
  <si>
    <t>30|16</t>
  </si>
  <si>
    <t>PARP1</t>
  </si>
  <si>
    <t>NM_001618</t>
  </si>
  <si>
    <t>c.2008C&gt;A</t>
  </si>
  <si>
    <t>p.Q670K</t>
  </si>
  <si>
    <t>chr1:226561989</t>
  </si>
  <si>
    <t>52|19</t>
  </si>
  <si>
    <t>PDX #183 vehicle (following rucaparib cycle 2)</t>
  </si>
  <si>
    <t>PDX #183</t>
  </si>
  <si>
    <t>Vehicle</t>
  </si>
  <si>
    <t>0/21</t>
  </si>
  <si>
    <t>1/21</t>
  </si>
  <si>
    <t>Niraparib 100mg/kg</t>
  </si>
  <si>
    <t>0/7</t>
  </si>
  <si>
    <t>1/7</t>
  </si>
  <si>
    <t>6/7</t>
  </si>
  <si>
    <t>Rucaparib 300mg/kg</t>
  </si>
  <si>
    <t>0/12</t>
  </si>
  <si>
    <t>1/12</t>
  </si>
  <si>
    <t>11/12</t>
  </si>
  <si>
    <t>Rucaparib 450mg/kg</t>
  </si>
  <si>
    <t>0/10</t>
  </si>
  <si>
    <t>10/10</t>
  </si>
  <si>
    <t>Cisplatin 4mg/kg</t>
  </si>
  <si>
    <t>0/2</t>
  </si>
  <si>
    <t>0/6</t>
  </si>
  <si>
    <t>6/6</t>
  </si>
  <si>
    <t>PDX PH039-A</t>
  </si>
  <si>
    <t>0/4</t>
  </si>
  <si>
    <t>1/4</t>
  </si>
  <si>
    <t>2/7</t>
  </si>
  <si>
    <t>3/7</t>
  </si>
  <si>
    <t>1/6</t>
  </si>
  <si>
    <t>2/6</t>
  </si>
  <si>
    <t>3/6</t>
  </si>
  <si>
    <t>1/3</t>
  </si>
  <si>
    <t>0/3</t>
  </si>
  <si>
    <t>2/3</t>
  </si>
  <si>
    <t>3/3</t>
  </si>
  <si>
    <t>PDX PH039-B</t>
  </si>
  <si>
    <t>1/5</t>
  </si>
  <si>
    <t>2/5</t>
  </si>
  <si>
    <t>0/5</t>
  </si>
  <si>
    <t>1/1</t>
  </si>
  <si>
    <t>0/1</t>
  </si>
  <si>
    <t>5/5</t>
  </si>
  <si>
    <t>Treatment</t>
  </si>
  <si>
    <r>
      <t>Tumours with me</t>
    </r>
    <r>
      <rPr>
        <b/>
        <i/>
        <sz val="12"/>
        <color theme="1"/>
        <rFont val="Times New Roman"/>
        <family val="1"/>
      </rPr>
      <t>RAD51C</t>
    </r>
    <r>
      <rPr>
        <b/>
        <sz val="12"/>
        <color theme="1"/>
        <rFont val="Times New Roman"/>
        <family val="1"/>
      </rPr>
      <t xml:space="preserve"> curve shift</t>
    </r>
  </si>
  <si>
    <t>4/4</t>
  </si>
  <si>
    <t>7/7</t>
  </si>
  <si>
    <t>2/2</t>
  </si>
  <si>
    <t>0/11</t>
  </si>
  <si>
    <t>3/11</t>
  </si>
  <si>
    <t>8/11</t>
  </si>
  <si>
    <r>
      <t xml:space="preserve"> Tumours with 0% me</t>
    </r>
    <r>
      <rPr>
        <b/>
        <i/>
        <sz val="12"/>
        <color theme="1"/>
        <rFont val="Times New Roman"/>
        <family val="1"/>
      </rPr>
      <t>RAD51C</t>
    </r>
  </si>
  <si>
    <r>
      <t>Tumours with 1-50% me</t>
    </r>
    <r>
      <rPr>
        <b/>
        <i/>
        <sz val="12"/>
        <color theme="1"/>
        <rFont val="Times New Roman"/>
        <family val="1"/>
      </rPr>
      <t>RAD51C</t>
    </r>
  </si>
  <si>
    <r>
      <t>Tumours with 51-99% me</t>
    </r>
    <r>
      <rPr>
        <b/>
        <i/>
        <sz val="12"/>
        <color theme="1"/>
        <rFont val="Times New Roman"/>
        <family val="1"/>
      </rPr>
      <t>RAD51C</t>
    </r>
  </si>
  <si>
    <r>
      <t>Tumours with 100% me</t>
    </r>
    <r>
      <rPr>
        <b/>
        <i/>
        <sz val="12"/>
        <color theme="1"/>
        <rFont val="Times New Roman"/>
        <family val="1"/>
      </rPr>
      <t>RAD51C</t>
    </r>
  </si>
  <si>
    <t>164 tumour aliquots tested in total (across all PDX models)</t>
  </si>
  <si>
    <r>
      <t xml:space="preserve">Supplementary Table 3. PDX PH039-A and PH039-B </t>
    </r>
    <r>
      <rPr>
        <b/>
        <i/>
        <sz val="12"/>
        <color rgb="FF000000"/>
        <rFont val="Times New Roman"/>
        <family val="1"/>
      </rPr>
      <t>in vivo</t>
    </r>
    <r>
      <rPr>
        <b/>
        <sz val="12"/>
        <color rgb="FF000000"/>
        <rFont val="Times New Roman"/>
        <family val="1"/>
      </rPr>
      <t xml:space="preserve"> treatment response summary. </t>
    </r>
  </si>
  <si>
    <t>Rucaparib 450mg/kg cycle 2</t>
  </si>
  <si>
    <t>Rucaparib 450mg/kg cycle 3</t>
  </si>
  <si>
    <t>Rucaparib 300mg/kg cycle 2</t>
  </si>
  <si>
    <t>Rucaparib 300mg/kg cycle 3</t>
  </si>
  <si>
    <t>Rucaparib 300mg/kg cycle 4</t>
  </si>
  <si>
    <t>PDX #183 rucaparib cycle 2</t>
  </si>
  <si>
    <t>PDX #183 rucaparib cycle 4</t>
  </si>
  <si>
    <r>
      <rPr>
        <b/>
        <i/>
        <sz val="12"/>
        <color theme="1"/>
        <rFont val="Times New Roman"/>
        <family val="1"/>
      </rPr>
      <t>p</t>
    </r>
    <r>
      <rPr>
        <b/>
        <sz val="12"/>
        <color theme="1"/>
        <rFont val="Times New Roman"/>
        <family val="1"/>
      </rPr>
      <t>-value comparing lineages</t>
    </r>
  </si>
  <si>
    <t>Responsive (PR)</t>
  </si>
  <si>
    <t>Patient ID</t>
  </si>
  <si>
    <t>Surgical outcome</t>
  </si>
  <si>
    <t>Lines of therapy received</t>
  </si>
  <si>
    <t>First platinum TFI</t>
  </si>
  <si>
    <t>Primary platinum status</t>
  </si>
  <si>
    <t xml:space="preserve">Survival </t>
  </si>
  <si>
    <t>Neoplastic cellularity (%)</t>
  </si>
  <si>
    <t>Methylated alleles %</t>
  </si>
  <si>
    <t>Age at diagnosis</t>
  </si>
  <si>
    <t>FIGO Staging</t>
  </si>
  <si>
    <t>Histology</t>
  </si>
  <si>
    <t>Neo-adjuvant chemo</t>
  </si>
  <si>
    <t>Sample type</t>
  </si>
  <si>
    <t>Total</t>
  </si>
  <si>
    <t>Platinum</t>
  </si>
  <si>
    <t>Prior to sample collection</t>
  </si>
  <si>
    <t>LS-158</t>
  </si>
  <si>
    <t>&lt;5mm</t>
  </si>
  <si>
    <t>87 months</t>
  </si>
  <si>
    <t>Sensitive</t>
  </si>
  <si>
    <t>87 months at last FU, alive</t>
  </si>
  <si>
    <t>Homogeneous</t>
  </si>
  <si>
    <t>Serous Carcinoma</t>
  </si>
  <si>
    <t>No</t>
  </si>
  <si>
    <t>Primary tumor, primary surgery, snap-frozen</t>
  </si>
  <si>
    <t>LS-215</t>
  </si>
  <si>
    <t>No residual disease</t>
  </si>
  <si>
    <t>22 months</t>
  </si>
  <si>
    <t>41 months, DOD</t>
  </si>
  <si>
    <t>Poorly Differentiated</t>
  </si>
  <si>
    <t>LS-267</t>
  </si>
  <si>
    <t>Suboptimal debulk</t>
  </si>
  <si>
    <t>18 months</t>
  </si>
  <si>
    <t>24 months, DOD</t>
  </si>
  <si>
    <t>AOCS-106</t>
  </si>
  <si>
    <t>4 months</t>
  </si>
  <si>
    <t>Resistant (sample post-neoadjuvent chemotherpay)</t>
  </si>
  <si>
    <t>12 months, DOD</t>
  </si>
  <si>
    <t>Homogeneous and heterozygous</t>
  </si>
  <si>
    <t>Yes</t>
  </si>
  <si>
    <t>Primary tumor, interval debulk, snap frozen</t>
  </si>
  <si>
    <t>LS-376</t>
  </si>
  <si>
    <t>2 months</t>
  </si>
  <si>
    <t>Resistant</t>
  </si>
  <si>
    <t>25 months, DOD</t>
  </si>
  <si>
    <t>LS-28</t>
  </si>
  <si>
    <t>Suboptimal debulk, &gt;2cm</t>
  </si>
  <si>
    <t>Refractory</t>
  </si>
  <si>
    <t>AOCS-120</t>
  </si>
  <si>
    <t>17 months</t>
  </si>
  <si>
    <t>Sensitive (sample from resistant recurrence)</t>
  </si>
  <si>
    <t>76 months, DOD</t>
  </si>
  <si>
    <t>Heterogeneous</t>
  </si>
  <si>
    <t>Resistant recurrence, ascites, snap frozen</t>
  </si>
  <si>
    <t>AOCS-143</t>
  </si>
  <si>
    <t>7 months</t>
  </si>
  <si>
    <t xml:space="preserve">69 months, DOD </t>
  </si>
  <si>
    <t>Primary tumour, primary surgery, snap-frozen</t>
  </si>
  <si>
    <t>LS-473</t>
  </si>
  <si>
    <t>Suboptimal debulk, 3-4cm</t>
  </si>
  <si>
    <t>6 months</t>
  </si>
  <si>
    <t>45 months, DOD</t>
  </si>
  <si>
    <t>LS-472</t>
  </si>
  <si>
    <t>Suboptimal debulk, 1.5cm</t>
  </si>
  <si>
    <t>N/A</t>
  </si>
  <si>
    <t>26 months, DOD</t>
  </si>
  <si>
    <t>LS-467</t>
  </si>
  <si>
    <t>Serous &amp; Clear Cell</t>
  </si>
  <si>
    <r>
      <rPr>
        <b/>
        <i/>
        <sz val="12"/>
        <color theme="1"/>
        <rFont val="Times New Roman"/>
        <family val="1"/>
      </rPr>
      <t>RAD51C</t>
    </r>
    <r>
      <rPr>
        <b/>
        <sz val="12"/>
        <color theme="1"/>
        <rFont val="Times New Roman"/>
        <family val="1"/>
      </rPr>
      <t xml:space="preserve"> copy number</t>
    </r>
  </si>
  <si>
    <r>
      <t>Adjusted me</t>
    </r>
    <r>
      <rPr>
        <b/>
        <i/>
        <sz val="12"/>
        <color theme="1"/>
        <rFont val="Times New Roman"/>
        <family val="1"/>
      </rPr>
      <t>RAD51C</t>
    </r>
  </si>
  <si>
    <r>
      <t>me</t>
    </r>
    <r>
      <rPr>
        <b/>
        <i/>
        <sz val="12"/>
        <color theme="1"/>
        <rFont val="Times New Roman"/>
        <family val="1"/>
      </rPr>
      <t>RAD51C</t>
    </r>
    <r>
      <rPr>
        <b/>
        <sz val="12"/>
        <color theme="1"/>
        <rFont val="Times New Roman"/>
        <family val="1"/>
      </rPr>
      <t xml:space="preserve"> profile </t>
    </r>
  </si>
  <si>
    <r>
      <rPr>
        <sz val="12"/>
        <color theme="1"/>
        <rFont val="Calibri"/>
        <family val="2"/>
      </rPr>
      <t>≥</t>
    </r>
    <r>
      <rPr>
        <sz val="12"/>
        <color theme="1"/>
        <rFont val="Times New Roman"/>
        <family val="1"/>
      </rPr>
      <t>1</t>
    </r>
  </si>
  <si>
    <t>PH039 Lineage</t>
  </si>
  <si>
    <t>PDX aliquot</t>
  </si>
  <si>
    <t>Transplant</t>
  </si>
  <si>
    <r>
      <t>me</t>
    </r>
    <r>
      <rPr>
        <b/>
        <i/>
        <sz val="12"/>
        <color theme="1"/>
        <rFont val="Times New Roman"/>
        <family val="1"/>
      </rPr>
      <t>RAD51C</t>
    </r>
    <r>
      <rPr>
        <b/>
        <sz val="12"/>
        <color theme="1"/>
        <rFont val="Times New Roman"/>
        <family val="1"/>
      </rPr>
      <t xml:space="preserve"> profile</t>
    </r>
  </si>
  <si>
    <t>A</t>
  </si>
  <si>
    <t>B</t>
  </si>
  <si>
    <t>T4</t>
  </si>
  <si>
    <t>T5</t>
  </si>
  <si>
    <t>T7</t>
  </si>
  <si>
    <t>T8</t>
  </si>
  <si>
    <t>T6</t>
  </si>
  <si>
    <r>
      <t>Supplementary Table 4. PH039 Lineage B contains multiple tumours with "shifted heterogeneous" me</t>
    </r>
    <r>
      <rPr>
        <b/>
        <i/>
        <sz val="12"/>
        <color theme="1"/>
        <rFont val="Times New Roman"/>
        <family val="1"/>
      </rPr>
      <t>RAD51C</t>
    </r>
    <r>
      <rPr>
        <b/>
        <sz val="12"/>
        <color theme="1"/>
        <rFont val="Times New Roman"/>
        <family val="1"/>
      </rPr>
      <t xml:space="preserve"> profile.</t>
    </r>
  </si>
  <si>
    <t>TTH – time to harvest; TTP – time to progression; SD – stable disease; CR – complete response.</t>
  </si>
  <si>
    <t>Supplementary Table 7. Extended clinical information for the patient cohort.</t>
  </si>
  <si>
    <t>Disease course summary</t>
  </si>
  <si>
    <t>Sample taken at primary surgery. Adjuvant treatment with carboplatin / paclitaxel / topotecan (CR). Patient remains in first remission, with no evidence of disease at last follow-up.</t>
  </si>
  <si>
    <t>Sample taken at primary surgery. First line treatment with carboplatin / paclitaxel (CA125 normalization). Intra-abdominal disease and liver metastases after 18 months. Two additional lines of platinum chemotheray recieved, but patient chose to discontinue third line and died soon after.</t>
  </si>
  <si>
    <t>Sample taken at primary surgery. First line carboplatin / paclitaxel (CA125 normalization, negative CT), with monthly paclitaxel as maintenance therapy. Rising CA125 after 9 months, evidence of ascites and metastatic disease on CT. Monthly liposomal doxorubicin / bevacizumab 4 months (SD) until rising CA125. Gemcitabine / bevacizumab for 2 months (SD). Therapy discontinued (medical complications), patient died two months later.</t>
  </si>
  <si>
    <t>Neoadjuvant carboplatin / paclitaxel, sample taken at primary surgery nine months later. Second line peglyated liposomal doxorubicin started 7 months after surgery. Patient died due to disease progression.</t>
  </si>
  <si>
    <t>Sample taken at primary surgery. First line carboplatin / paclitaxel. Second line carboplatin/ gemcitabine / PARPi (veliparib). Ascites and elevated CA125 five and a half months post-chemotherapy. Third line topotecan/ bevacizumab (progressive ascites). Switched to nab-paclitaxel for two months. One cycle of carboplatin before dying two months later.</t>
  </si>
  <si>
    <t>Sample taken at primary surgery. First line carboplatin/ paclitaxel (CA125 normalization) . Six months post-surgery small positive foci detected in periaortic lymph nodes. Second line topotecan (PD). No further treatment records available until her death 19 months after second surgery.</t>
  </si>
  <si>
    <t>First line carboplatin / paclitaxel / gemcitabine. 17 months later second line carboplatin / paclitaxel. 20 months later third line carboplatin / gemcitabine. Six months later fourth line carboplatin. Nine months later fifth line pegylated liposomal doxorubicin. Three months later, another line (6th) of pegylated liposomal doxorubicin. Sample taken one month after end of final therapy. Death due to disease progression.</t>
  </si>
  <si>
    <t>Sample taken at primary surgery. First line carboplatin / paclitaxel, second line pegylated liposomal doxorubicin, third line carboplatin / gemcitabine. Tamoxifen. Fourth line docetaxel. Fifth line carboplatin / docetaxel / etoposide. One month later sixth line cisplatin / etoposide. Four months later seventh line cisplatin. Five months later eight line paclitaxel. One month later ninth line cisplatin. Death due to acute leukaemia related to chemotherapy.</t>
  </si>
  <si>
    <t>Neoadjuvant carboplatin / paclitaxel (PR). Sample obtained at interval debulking surgery. Carboplatin / paclitaxel / bevacizumab post-surgery. Complete metabolic response (PET scan). Rising CA125 and PD just prior to six months post chemotherapy, thus re-commenced carboplatin / paclitaxel / bevacizumab. Rising CA125 and PD after seven months. Third line gemcitabine (rising CA125 and abdominal symptoms after two months). Gemcitabine / bevacizumab for three months (rising CA125 and PD). Liposomal doxorubicin started but switched to cisplatin / pemetrexed after three months (rising CA125 and small bowel obstruction). Lost to follow up until death nine months later.</t>
  </si>
  <si>
    <t>Sample taken at primary surgery. First line dose-dense paclitaxel/ carboplatin (normalization of CA125), but persistent disease. Additional three lines of chemotherapy (bevacizumab, topotecan, Doxil) with PD on all.</t>
  </si>
  <si>
    <t>Sample taken at primary surgery. Patient lost to follow-up from commencement of first-line chemotherapy (carboplatin/ paclitaxel, one month after surgery).</t>
  </si>
  <si>
    <t>Macroscopic disease ≤1 cm</t>
  </si>
  <si>
    <t>Patient LS-473</t>
  </si>
  <si>
    <t>Piece 1</t>
  </si>
  <si>
    <t>Piece 2</t>
  </si>
  <si>
    <t>PDX #183 niraparib 100 mg/kg response</t>
  </si>
  <si>
    <t>PDX PH039-A niraparib 100 mg/kg response</t>
  </si>
  <si>
    <t>PDX PH039-B niraparib 100 mg/kg response</t>
  </si>
  <si>
    <t>Neoplastic cellularity (qpure %)</t>
  </si>
  <si>
    <t>IIIC</t>
  </si>
  <si>
    <t>IV</t>
  </si>
  <si>
    <t>IIB</t>
  </si>
  <si>
    <r>
      <t>Supplementary Table 8. Adjusted me</t>
    </r>
    <r>
      <rPr>
        <b/>
        <i/>
        <sz val="12"/>
        <color theme="1"/>
        <rFont val="Times New Roman"/>
        <family val="1"/>
      </rPr>
      <t>RAD51C</t>
    </r>
    <r>
      <rPr>
        <b/>
        <sz val="12"/>
        <color theme="1"/>
        <rFont val="Times New Roman"/>
        <family val="1"/>
      </rPr>
      <t xml:space="preserve"> for two pieces of tumor LS-473</t>
    </r>
  </si>
  <si>
    <t>TTH – time to harvest; TTP – time to progression.</t>
  </si>
  <si>
    <t>Right-shifted heterogeneous</t>
  </si>
  <si>
    <t>Model - sample</t>
  </si>
  <si>
    <t>#183 - Patient tumor</t>
  </si>
  <si>
    <t>#183 - PDX tumor #7903</t>
  </si>
  <si>
    <t>ATM</t>
  </si>
  <si>
    <t>XRCC4</t>
  </si>
  <si>
    <t>CHEK1</t>
  </si>
  <si>
    <t>NM_000051</t>
  </si>
  <si>
    <t>NM_022550</t>
  </si>
  <si>
    <t>NM_001114122</t>
  </si>
  <si>
    <t>c.2638+4A&gt;G</t>
  </si>
  <si>
    <t>c.970A&gt;C</t>
  </si>
  <si>
    <t>c.829C&gt;T</t>
  </si>
  <si>
    <t>c.920-1G&gt;A</t>
  </si>
  <si>
    <t>p.N324H</t>
  </si>
  <si>
    <t>p.R277X</t>
  </si>
  <si>
    <t>chr11:108138073</t>
  </si>
  <si>
    <t>chr5:82649026</t>
  </si>
  <si>
    <t>chr11:125513701</t>
  </si>
  <si>
    <t>chr17:7576927</t>
  </si>
  <si>
    <t>DEL</t>
  </si>
  <si>
    <t>#1240 - Patient tumor</t>
  </si>
  <si>
    <t>FANCL</t>
  </si>
  <si>
    <t>NM_018062</t>
  </si>
  <si>
    <t>c.156_1220del</t>
  </si>
  <si>
    <t>p.R52fs</t>
  </si>
  <si>
    <t>chr2:58386808-58458714</t>
  </si>
  <si>
    <t>3-14</t>
  </si>
  <si>
    <t>446|60</t>
  </si>
  <si>
    <t>PDX #1240 vehicle values</t>
  </si>
  <si>
    <t>PDX #1240 cisplatin response</t>
  </si>
  <si>
    <r>
      <t xml:space="preserve">Supplementary Table 1. PDX #183 and #1240 </t>
    </r>
    <r>
      <rPr>
        <b/>
        <i/>
        <sz val="12"/>
        <color theme="1"/>
        <rFont val="Times New Roman"/>
        <family val="1"/>
      </rPr>
      <t>in vivo</t>
    </r>
    <r>
      <rPr>
        <b/>
        <sz val="12"/>
        <color theme="1"/>
        <rFont val="Times New Roman"/>
        <family val="1"/>
      </rPr>
      <t xml:space="preserve"> treatment response summary. </t>
    </r>
  </si>
  <si>
    <t>SFRC-1307</t>
  </si>
  <si>
    <t>3 months at last FU, alive</t>
  </si>
  <si>
    <t>Heterogeneous*</t>
  </si>
  <si>
    <t>Sample taken at primary surgery. Patient yet to begin treatment plan of adjuvant chemotherapy / bevacizumab.</t>
  </si>
  <si>
    <t>In silico prediction</t>
  </si>
  <si>
    <t>ExAC: 0.0002
1000g: 0.000199681</t>
  </si>
  <si>
    <t xml:space="preserve"> ExAC: 0.00003793
Absent in 1000g</t>
  </si>
  <si>
    <t>Assumed pathogenic (stopgain)</t>
  </si>
  <si>
    <r>
      <t xml:space="preserve">Both #183 patient and PDX samples carry a deleterious </t>
    </r>
    <r>
      <rPr>
        <i/>
        <sz val="12"/>
        <color theme="1"/>
        <rFont val="Times New Roman"/>
        <family val="1"/>
      </rPr>
      <t>TP53</t>
    </r>
    <r>
      <rPr>
        <sz val="12"/>
        <color theme="1"/>
        <rFont val="Times New Roman"/>
        <family val="1"/>
      </rPr>
      <t xml:space="preserve"> mutation and loss of one copy of </t>
    </r>
    <r>
      <rPr>
        <i/>
        <sz val="12"/>
        <color theme="1"/>
        <rFont val="Times New Roman"/>
        <family val="1"/>
      </rPr>
      <t>PTEN</t>
    </r>
    <r>
      <rPr>
        <sz val="12"/>
        <color theme="1"/>
        <rFont val="Times New Roman"/>
        <family val="1"/>
      </rPr>
      <t xml:space="preserve">. The heterozygous </t>
    </r>
    <r>
      <rPr>
        <i/>
        <sz val="12"/>
        <color theme="1"/>
        <rFont val="Times New Roman"/>
        <family val="1"/>
      </rPr>
      <t>PARP1</t>
    </r>
    <r>
      <rPr>
        <sz val="12"/>
        <color theme="1"/>
        <rFont val="Times New Roman"/>
        <family val="1"/>
      </rPr>
      <t xml:space="preserve"> mutation detected in the PDX affects the regulatory domain of the protein. </t>
    </r>
    <r>
      <rPr>
        <i/>
        <sz val="12"/>
        <color theme="1"/>
        <rFont val="Times New Roman"/>
        <family val="1"/>
      </rPr>
      <t>In silico</t>
    </r>
    <r>
      <rPr>
        <sz val="12"/>
        <color theme="1"/>
        <rFont val="Times New Roman"/>
        <family val="1"/>
      </rPr>
      <t xml:space="preserve"> prediction in mutation taster (Schwarz et al., 2014) indicated that this mutation is pathogenic, but it was not reported as a PARPi-resistance mutation in published CRISPR screens (Pettitt et al., 2018). Thus the effects of this </t>
    </r>
    <r>
      <rPr>
        <i/>
        <sz val="12"/>
        <color theme="1"/>
        <rFont val="Times New Roman"/>
        <family val="1"/>
      </rPr>
      <t xml:space="preserve">PARP1 </t>
    </r>
    <r>
      <rPr>
        <sz val="12"/>
        <color theme="1"/>
        <rFont val="Times New Roman"/>
        <family val="1"/>
      </rPr>
      <t>mutation on PARPi activity remain unclear. ExAC = The Exome Aggregation Consortium; 1000g = 1000 genomes.</t>
    </r>
  </si>
  <si>
    <r>
      <t>MS-HRM me</t>
    </r>
    <r>
      <rPr>
        <i/>
        <sz val="12"/>
        <color theme="1"/>
        <rFont val="Times New Roman"/>
        <family val="1"/>
      </rPr>
      <t>RAD51C</t>
    </r>
    <r>
      <rPr>
        <sz val="12"/>
        <color theme="1"/>
        <rFont val="Times New Roman"/>
        <family val="1"/>
      </rPr>
      <t xml:space="preserve"> profiles for vehicle-treated PDX aliquots from PH039 lineages A and B, where "right-shifted heterogeneous" represents heterogeneous MS-HRM curves are shifted towards to the 100% methylated control curve (i.e. slightly more methylated). </t>
    </r>
  </si>
  <si>
    <t>PDX #183 rucaparib 300 mg/kg response</t>
  </si>
  <si>
    <t>PDX #183 rucaparib 450 mg/kg response</t>
  </si>
  <si>
    <t>PDX #1240 rucaparib 300 mg/kg response</t>
  </si>
  <si>
    <t>PDX PH039-A rucaparib 300 mg/kg response</t>
  </si>
  <si>
    <t>PDX PH039-B rucaparib 300 mg/kg response</t>
  </si>
  <si>
    <t>PDX PH039-A rucaparib 450 mg/kg response</t>
  </si>
  <si>
    <t>PDX PH039-B rucaparib 450 mg/kg response</t>
  </si>
  <si>
    <r>
      <t>Samples grouped by me</t>
    </r>
    <r>
      <rPr>
        <i/>
        <sz val="12"/>
        <color theme="1"/>
        <rFont val="Times New Roman"/>
        <family val="1"/>
      </rPr>
      <t>RAD51C</t>
    </r>
    <r>
      <rPr>
        <sz val="12"/>
        <color theme="1"/>
        <rFont val="Times New Roman"/>
        <family val="1"/>
      </rPr>
      <t xml:space="preserve"> pattern (homogeneous vs heterogeneous), and platinum TFI. Refractory defined as progressive disease on chemotherapy, resistant as PR or recurrence/progression within 6 months of end of chemotherapy and sensitive as recurrence/progression more than 6 months after end of chemotherapy. DOD – Died of disease; CR – complete response; PR – partial response; PD – progressive disease; SD – stable disease; N/A – Not available;  TFI – Treatment-Free Interval.  *Pattern based only on MS-HRM data.</t>
    </r>
  </si>
  <si>
    <t>Supplementary Table 2. BROCA sequencing results for #183 and #1240 patient and PDX samples.</t>
  </si>
  <si>
    <t>Methylation calculated using targeted bisulfite NGS data.</t>
  </si>
  <si>
    <r>
      <t>Supplementary Table 5. Summary of all results for me</t>
    </r>
    <r>
      <rPr>
        <b/>
        <i/>
        <sz val="12"/>
        <color theme="1"/>
        <rFont val="Times New Roman"/>
        <family val="1"/>
      </rPr>
      <t>RAD51C</t>
    </r>
    <r>
      <rPr>
        <b/>
        <sz val="12"/>
        <color theme="1"/>
        <rFont val="Times New Roman"/>
        <family val="1"/>
      </rPr>
      <t xml:space="preserve"> loss screening by MS-HRM.</t>
    </r>
  </si>
  <si>
    <r>
      <t xml:space="preserve">Supplementary Table 6. PDX #183 </t>
    </r>
    <r>
      <rPr>
        <b/>
        <i/>
        <sz val="12"/>
        <color theme="1"/>
        <rFont val="Times New Roman"/>
        <family val="1"/>
      </rPr>
      <t>in vivo</t>
    </r>
    <r>
      <rPr>
        <b/>
        <sz val="12"/>
        <color theme="1"/>
        <rFont val="Times New Roman"/>
        <family val="1"/>
      </rPr>
      <t xml:space="preserve"> rucaparib re-treatment response summary.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</si>
</sst>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2"/>
      <color theme="1"/>
      <name val="Calibri"/>
      <family val="2"/>
      <scheme val="minor"/>
    </font>
    <font>
      <b/>
      <sz val="12"/>
      <color theme="1"/>
      <name val="Times New Roman"/>
      <family val="1"/>
    </font>
    <font>
      <sz val="12"/>
      <color theme="1"/>
      <name val="Times New Roman"/>
      <family val="1"/>
    </font>
    <font>
      <b/>
      <i/>
      <sz val="12"/>
      <color theme="1"/>
      <name val="Times New Roman"/>
      <family val="1"/>
    </font>
    <font>
      <sz val="12"/>
      <color theme="1"/>
      <name val="Calibri"/>
      <family val="2"/>
      <scheme val="minor"/>
    </font>
    <font>
      <sz val="11"/>
      <color theme="1"/>
      <name val="Times New Roman"/>
      <family val="1"/>
    </font>
    <font>
      <b/>
      <sz val="9"/>
      <color rgb="FF000000"/>
      <name val="Tahoma"/>
      <family val="2"/>
    </font>
    <font>
      <sz val="9"/>
      <color rgb="FF000000"/>
      <name val="Tahoma"/>
      <family val="2"/>
    </font>
    <font>
      <b/>
      <sz val="12"/>
      <color rgb="FF000000"/>
      <name val="Times New Roman"/>
      <family val="1"/>
    </font>
    <font>
      <b/>
      <i/>
      <sz val="12"/>
      <color rgb="FF000000"/>
      <name val="Times New Roman"/>
      <family val="1"/>
    </font>
    <font>
      <i/>
      <sz val="12"/>
      <color theme="1"/>
      <name val="Times New Roman"/>
      <family val="1"/>
    </font>
    <font>
      <sz val="12"/>
      <color theme="1"/>
      <name val="Times New Roman"/>
      <family val="2"/>
    </font>
    <font>
      <sz val="12"/>
      <color theme="1"/>
      <name val="Calibri"/>
      <family val="2"/>
    </font>
    <font>
      <i/>
      <sz val="11"/>
      <color theme="1"/>
      <name val="Times New Roman"/>
      <family val="1"/>
    </font>
    <font>
      <sz val="11"/>
      <color theme="1"/>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59996337778862885"/>
        <bgColor indexed="64"/>
      </patternFill>
    </fill>
    <fill>
      <patternFill patternType="solid">
        <fgColor rgb="FFFFFF00"/>
        <bgColor indexed="64"/>
      </patternFill>
    </fill>
    <fill>
      <patternFill patternType="solid">
        <fgColor theme="6" tint="0.59996337778862885"/>
        <bgColor indexed="64"/>
      </patternFill>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9" fontId="4" fillId="0" borderId="0" applyFont="0" applyFill="0" applyBorder="0" applyAlignment="0" applyProtection="0"/>
    <xf numFmtId="0" fontId="14" fillId="6" borderId="0" applyNumberFormat="0" applyFont="0" applyBorder="0" applyAlignment="0" applyProtection="0"/>
    <xf numFmtId="0" fontId="15" fillId="7" borderId="0" applyNumberFormat="0" applyFont="0" applyBorder="0" applyAlignment="0" applyProtection="0"/>
    <xf numFmtId="0" fontId="14" fillId="8" borderId="0" applyNumberFormat="0" applyFont="0" applyBorder="0" applyAlignment="0" applyProtection="0"/>
  </cellStyleXfs>
  <cellXfs count="185">
    <xf numFmtId="0" fontId="0" fillId="0" borderId="0" xfId="0"/>
    <xf numFmtId="0" fontId="2" fillId="0" borderId="0" xfId="0" applyFont="1" applyAlignment="1">
      <alignment horizontal="center"/>
    </xf>
    <xf numFmtId="0" fontId="1" fillId="2" borderId="3" xfId="0" applyFont="1" applyFill="1" applyBorder="1" applyAlignment="1">
      <alignment horizontal="center" vertical="center" wrapText="1"/>
    </xf>
    <xf numFmtId="0" fontId="2" fillId="2" borderId="4" xfId="0" applyFont="1" applyFill="1" applyBorder="1" applyAlignment="1">
      <alignment horizontal="center"/>
    </xf>
    <xf numFmtId="0" fontId="1" fillId="2" borderId="5" xfId="0" applyFont="1" applyFill="1" applyBorder="1" applyAlignment="1">
      <alignment horizontal="center" vertical="center" wrapText="1"/>
    </xf>
    <xf numFmtId="0" fontId="2" fillId="2" borderId="6" xfId="0" applyFont="1" applyFill="1" applyBorder="1" applyAlignment="1">
      <alignment horizontal="center"/>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164" fontId="1" fillId="4" borderId="8" xfId="1" applyNumberFormat="1" applyFont="1" applyFill="1" applyBorder="1" applyAlignment="1">
      <alignment horizontal="center" vertical="center" wrapText="1"/>
    </xf>
    <xf numFmtId="49" fontId="1" fillId="4" borderId="8" xfId="0" applyNumberFormat="1" applyFont="1" applyFill="1" applyBorder="1" applyAlignment="1">
      <alignment horizontal="center" vertical="center" wrapText="1"/>
    </xf>
    <xf numFmtId="0" fontId="1" fillId="4" borderId="9" xfId="0" applyFont="1" applyFill="1" applyBorder="1" applyAlignment="1">
      <alignment horizontal="center" vertical="center" wrapText="1"/>
    </xf>
    <xf numFmtId="0" fontId="5" fillId="0" borderId="0" xfId="0" applyFont="1" applyAlignment="1">
      <alignment horizontal="center" vertical="center"/>
    </xf>
    <xf numFmtId="0" fontId="5" fillId="0" borderId="11" xfId="0" applyFont="1" applyBorder="1" applyAlignment="1">
      <alignment horizontal="center" vertical="center"/>
    </xf>
    <xf numFmtId="9" fontId="5" fillId="0" borderId="11" xfId="1" applyFont="1" applyBorder="1" applyAlignment="1">
      <alignment horizontal="center" vertical="center"/>
    </xf>
    <xf numFmtId="49"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9" fontId="5" fillId="0" borderId="14" xfId="1" applyFont="1" applyBorder="1" applyAlignment="1">
      <alignment horizontal="center" vertic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49" fontId="5" fillId="0" borderId="17" xfId="0" applyNumberFormat="1" applyFont="1" applyBorder="1" applyAlignment="1">
      <alignment horizontal="center" vertical="center"/>
    </xf>
    <xf numFmtId="0" fontId="5" fillId="0" borderId="18" xfId="0" applyFont="1" applyBorder="1" applyAlignment="1">
      <alignment horizontal="center" vertical="center"/>
    </xf>
    <xf numFmtId="9" fontId="5" fillId="0" borderId="17" xfId="1" applyFont="1" applyBorder="1" applyAlignment="1">
      <alignment horizontal="center" vertical="center"/>
    </xf>
    <xf numFmtId="0" fontId="2" fillId="0" borderId="0" xfId="0" applyFont="1"/>
    <xf numFmtId="0" fontId="2" fillId="0" borderId="14" xfId="0" quotePrefix="1" applyFont="1" applyBorder="1" applyAlignment="1">
      <alignment horizontal="center"/>
    </xf>
    <xf numFmtId="9" fontId="2" fillId="0" borderId="14" xfId="1" applyFont="1" applyBorder="1" applyAlignment="1">
      <alignment horizontal="center"/>
    </xf>
    <xf numFmtId="17" fontId="2" fillId="0" borderId="14" xfId="0" quotePrefix="1" applyNumberFormat="1" applyFont="1" applyBorder="1" applyAlignment="1">
      <alignment horizontal="center" vertical="center"/>
    </xf>
    <xf numFmtId="0" fontId="2" fillId="0" borderId="14" xfId="0" applyFont="1" applyBorder="1" applyAlignment="1">
      <alignment horizontal="center"/>
    </xf>
    <xf numFmtId="9" fontId="2" fillId="0" borderId="14" xfId="0" applyNumberFormat="1" applyFont="1" applyBorder="1" applyAlignment="1">
      <alignment horizontal="center"/>
    </xf>
    <xf numFmtId="9" fontId="2" fillId="0" borderId="14" xfId="1" quotePrefix="1" applyFont="1" applyBorder="1" applyAlignment="1">
      <alignment horizontal="center"/>
    </xf>
    <xf numFmtId="16" fontId="2" fillId="0" borderId="14" xfId="0" quotePrefix="1" applyNumberFormat="1" applyFont="1" applyBorder="1" applyAlignment="1">
      <alignment horizontal="center" vertical="center"/>
    </xf>
    <xf numFmtId="164" fontId="2" fillId="0" borderId="14" xfId="1" applyNumberFormat="1" applyFont="1" applyBorder="1" applyAlignment="1">
      <alignment horizontal="center"/>
    </xf>
    <xf numFmtId="0" fontId="2" fillId="0" borderId="14" xfId="0" quotePrefix="1" applyFont="1" applyBorder="1" applyAlignment="1">
      <alignment horizontal="center" vertical="center"/>
    </xf>
    <xf numFmtId="0" fontId="2" fillId="0" borderId="14" xfId="1" applyNumberFormat="1" applyFont="1" applyBorder="1" applyAlignment="1">
      <alignment horizontal="center"/>
    </xf>
    <xf numFmtId="16" fontId="2" fillId="0" borderId="14" xfId="0" quotePrefix="1" applyNumberFormat="1" applyFont="1" applyBorder="1" applyAlignment="1">
      <alignment horizontal="center"/>
    </xf>
    <xf numFmtId="0" fontId="1" fillId="0" borderId="0" xfId="0" applyFont="1"/>
    <xf numFmtId="0" fontId="8" fillId="0" borderId="0" xfId="0" applyFont="1" applyAlignment="1">
      <alignment horizontal="left" vertical="center" readingOrder="1"/>
    </xf>
    <xf numFmtId="0" fontId="1" fillId="2" borderId="0" xfId="0" applyFont="1" applyFill="1" applyBorder="1" applyAlignment="1">
      <alignment horizontal="center" vertical="center" wrapText="1"/>
    </xf>
    <xf numFmtId="0" fontId="2" fillId="2" borderId="0" xfId="0" applyFont="1" applyFill="1" applyBorder="1" applyAlignment="1">
      <alignment horizontal="center"/>
    </xf>
    <xf numFmtId="0" fontId="2" fillId="2" borderId="4" xfId="0" applyFont="1" applyFill="1" applyBorder="1" applyAlignment="1">
      <alignment horizontal="center"/>
    </xf>
    <xf numFmtId="2" fontId="2" fillId="0" borderId="14" xfId="1" applyNumberFormat="1" applyFont="1" applyFill="1" applyBorder="1" applyAlignment="1">
      <alignment horizontal="center" vertical="center" wrapText="1"/>
    </xf>
    <xf numFmtId="9" fontId="2" fillId="0" borderId="14" xfId="1" applyFont="1" applyFill="1" applyBorder="1" applyAlignment="1">
      <alignment horizontal="center" vertical="center" wrapText="1"/>
    </xf>
    <xf numFmtId="0" fontId="2" fillId="0" borderId="14" xfId="0" applyFont="1" applyFill="1" applyBorder="1" applyAlignment="1">
      <alignment horizontal="center" vertical="center"/>
    </xf>
    <xf numFmtId="0" fontId="1" fillId="2"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2" borderId="12" xfId="0" applyFont="1" applyFill="1" applyBorder="1" applyAlignment="1">
      <alignment horizontal="center" vertical="center"/>
    </xf>
    <xf numFmtId="0" fontId="1" fillId="2" borderId="13" xfId="0" applyFont="1" applyFill="1" applyBorder="1" applyAlignment="1">
      <alignment horizontal="center" vertical="center" wrapText="1"/>
    </xf>
    <xf numFmtId="0" fontId="2" fillId="2" borderId="15" xfId="0" applyFont="1" applyFill="1" applyBorder="1" applyAlignment="1">
      <alignment horizontal="center" vertical="center"/>
    </xf>
    <xf numFmtId="0" fontId="1"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1" fillId="2" borderId="16" xfId="0" applyFont="1" applyFill="1" applyBorder="1" applyAlignment="1">
      <alignment horizontal="center" vertical="center" wrapText="1"/>
    </xf>
    <xf numFmtId="0" fontId="2" fillId="2" borderId="18" xfId="0" applyFont="1" applyFill="1" applyBorder="1" applyAlignment="1">
      <alignment horizontal="center" vertical="center"/>
    </xf>
    <xf numFmtId="0" fontId="0" fillId="0" borderId="0" xfId="0" applyAlignment="1">
      <alignment horizont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2" fillId="0" borderId="0" xfId="0" applyFont="1" applyAlignment="1">
      <alignment horizontal="left"/>
    </xf>
    <xf numFmtId="0" fontId="1" fillId="0" borderId="0" xfId="0" applyFont="1" applyAlignment="1">
      <alignment horizontal="left"/>
    </xf>
    <xf numFmtId="0" fontId="5" fillId="0" borderId="0" xfId="0" applyFont="1"/>
    <xf numFmtId="0" fontId="2" fillId="0" borderId="22"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Border="1"/>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22" xfId="0" applyFont="1" applyFill="1" applyBorder="1" applyAlignment="1">
      <alignment horizontal="center" vertical="center" wrapText="1"/>
    </xf>
    <xf numFmtId="2" fontId="2" fillId="0" borderId="22" xfId="0" applyNumberFormat="1" applyFont="1" applyFill="1" applyBorder="1" applyAlignment="1">
      <alignment horizontal="center" vertical="center" wrapText="1"/>
    </xf>
    <xf numFmtId="9" fontId="2" fillId="0" borderId="22" xfId="1" applyFont="1" applyFill="1" applyBorder="1" applyAlignment="1">
      <alignment horizontal="center" vertical="center" wrapText="1"/>
    </xf>
    <xf numFmtId="1" fontId="2" fillId="0" borderId="22" xfId="0" applyNumberFormat="1" applyFont="1" applyFill="1" applyBorder="1" applyAlignment="1">
      <alignment horizontal="center" vertical="center"/>
    </xf>
    <xf numFmtId="0" fontId="1" fillId="0"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1" fillId="0" borderId="21" xfId="0" applyFont="1" applyFill="1" applyBorder="1" applyAlignment="1">
      <alignment horizontal="center" vertical="center" wrapText="1"/>
    </xf>
    <xf numFmtId="2" fontId="2" fillId="0" borderId="21" xfId="1" applyNumberFormat="1" applyFont="1" applyFill="1" applyBorder="1" applyAlignment="1">
      <alignment horizontal="center" vertical="center" wrapText="1"/>
    </xf>
    <xf numFmtId="9" fontId="2" fillId="0" borderId="21" xfId="1"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9" fontId="2" fillId="0" borderId="17" xfId="1" applyFont="1" applyFill="1" applyBorder="1" applyAlignment="1">
      <alignment horizontal="center" vertical="center" wrapText="1"/>
    </xf>
    <xf numFmtId="0" fontId="1" fillId="0" borderId="10" xfId="0" applyFont="1" applyBorder="1" applyAlignment="1">
      <alignment horizontal="center" vertical="center" wrapText="1"/>
    </xf>
    <xf numFmtId="1" fontId="2" fillId="0" borderId="11" xfId="1" applyNumberFormat="1" applyFont="1" applyFill="1" applyBorder="1" applyAlignment="1">
      <alignment horizontal="center" vertical="center" wrapText="1"/>
    </xf>
    <xf numFmtId="0" fontId="2" fillId="0" borderId="11" xfId="0" applyFont="1" applyBorder="1" applyAlignment="1">
      <alignment horizontal="center" vertical="center" wrapText="1"/>
    </xf>
    <xf numFmtId="9" fontId="2" fillId="0" borderId="11" xfId="1" applyFont="1" applyFill="1" applyBorder="1" applyAlignment="1">
      <alignment horizontal="center" vertical="center" wrapText="1"/>
    </xf>
    <xf numFmtId="0" fontId="2" fillId="0" borderId="12" xfId="0" applyFont="1" applyBorder="1" applyAlignment="1">
      <alignment horizontal="center" vertical="center" wrapText="1"/>
    </xf>
    <xf numFmtId="0" fontId="1" fillId="0" borderId="16" xfId="0" applyFont="1" applyBorder="1" applyAlignment="1">
      <alignment horizontal="center" vertical="center" wrapText="1"/>
    </xf>
    <xf numFmtId="1" fontId="2" fillId="0" borderId="17" xfId="1"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13"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9" fontId="2" fillId="0" borderId="14" xfId="1" applyNumberFormat="1" applyFont="1" applyBorder="1" applyAlignment="1">
      <alignment horizontal="center"/>
    </xf>
    <xf numFmtId="0" fontId="2" fillId="2" borderId="4" xfId="0" applyFont="1" applyFill="1" applyBorder="1" applyAlignment="1">
      <alignment horizontal="center"/>
    </xf>
    <xf numFmtId="0" fontId="5" fillId="0" borderId="14" xfId="3" applyNumberFormat="1" applyFont="1" applyFill="1" applyBorder="1" applyAlignment="1">
      <alignment horizontal="center" vertical="center"/>
    </xf>
    <xf numFmtId="2" fontId="5" fillId="0" borderId="14" xfId="2" applyNumberFormat="1" applyFont="1" applyFill="1" applyBorder="1" applyAlignment="1">
      <alignment horizontal="center" vertical="center"/>
    </xf>
    <xf numFmtId="2" fontId="5" fillId="0" borderId="14" xfId="3" applyNumberFormat="1" applyFont="1" applyFill="1" applyBorder="1" applyAlignment="1">
      <alignment horizontal="center" vertical="center"/>
    </xf>
    <xf numFmtId="0" fontId="5" fillId="0" borderId="24" xfId="0" applyFont="1" applyBorder="1" applyAlignment="1">
      <alignment horizontal="center" vertical="center"/>
    </xf>
    <xf numFmtId="0" fontId="13" fillId="0" borderId="24" xfId="0" applyFont="1" applyBorder="1" applyAlignment="1">
      <alignment horizontal="center" vertical="center"/>
    </xf>
    <xf numFmtId="49" fontId="5" fillId="0" borderId="24" xfId="0" applyNumberFormat="1" applyFont="1" applyBorder="1" applyAlignment="1">
      <alignment horizontal="center" vertical="center"/>
    </xf>
    <xf numFmtId="0" fontId="5" fillId="0" borderId="25" xfId="0" applyFont="1" applyBorder="1" applyAlignment="1">
      <alignment horizontal="center" vertical="center"/>
    </xf>
    <xf numFmtId="0" fontId="5" fillId="0" borderId="11" xfId="2" applyNumberFormat="1" applyFont="1" applyFill="1" applyBorder="1" applyAlignment="1">
      <alignment horizontal="center" vertical="center"/>
    </xf>
    <xf numFmtId="2" fontId="5" fillId="0" borderId="11" xfId="2" applyNumberFormat="1" applyFont="1" applyFill="1" applyBorder="1" applyAlignment="1">
      <alignment horizontal="center" vertical="center"/>
    </xf>
    <xf numFmtId="0" fontId="5" fillId="0" borderId="17" xfId="4" applyNumberFormat="1" applyFont="1" applyFill="1" applyBorder="1" applyAlignment="1">
      <alignment horizontal="center" vertical="center"/>
    </xf>
    <xf numFmtId="2" fontId="5" fillId="0" borderId="17" xfId="4" applyNumberFormat="1" applyFont="1" applyFill="1" applyBorder="1" applyAlignment="1">
      <alignment horizontal="center" vertical="center"/>
    </xf>
    <xf numFmtId="0" fontId="2" fillId="0" borderId="14"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xf numFmtId="164" fontId="5" fillId="0" borderId="0" xfId="1" applyNumberFormat="1" applyFont="1" applyFill="1" applyBorder="1" applyAlignment="1">
      <alignment horizontal="center" vertical="center"/>
    </xf>
    <xf numFmtId="0" fontId="10" fillId="0" borderId="14" xfId="0" applyFont="1" applyBorder="1" applyAlignment="1">
      <alignment horizontal="center" vertical="center"/>
    </xf>
    <xf numFmtId="0" fontId="2" fillId="0" borderId="11" xfId="0" applyFont="1" applyBorder="1" applyAlignment="1">
      <alignment horizontal="center" vertical="center"/>
    </xf>
    <xf numFmtId="0" fontId="10" fillId="0" borderId="11" xfId="0" applyFont="1" applyBorder="1" applyAlignment="1">
      <alignment horizontal="center" vertical="center"/>
    </xf>
    <xf numFmtId="0" fontId="2" fillId="0" borderId="17" xfId="0" applyFont="1" applyBorder="1" applyAlignment="1">
      <alignment horizontal="center" vertical="center"/>
    </xf>
    <xf numFmtId="0" fontId="10" fillId="0" borderId="17" xfId="0" applyFont="1" applyBorder="1" applyAlignment="1">
      <alignment horizontal="center" vertical="center"/>
    </xf>
    <xf numFmtId="0" fontId="2" fillId="0" borderId="0" xfId="0" applyFont="1" applyFill="1"/>
    <xf numFmtId="0" fontId="2" fillId="0" borderId="0" xfId="0" applyFont="1" applyFill="1" applyBorder="1" applyAlignment="1">
      <alignment horizontal="center"/>
    </xf>
    <xf numFmtId="2" fontId="2" fillId="2" borderId="6" xfId="0" applyNumberFormat="1" applyFont="1" applyFill="1" applyBorder="1" applyAlignment="1">
      <alignment horizontal="center"/>
    </xf>
    <xf numFmtId="0" fontId="10" fillId="0" borderId="0" xfId="0" applyFont="1" applyFill="1"/>
    <xf numFmtId="0" fontId="1" fillId="0" borderId="14"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8" xfId="0" applyFont="1" applyBorder="1" applyAlignment="1">
      <alignment horizontal="center" vertical="center"/>
    </xf>
    <xf numFmtId="0" fontId="1" fillId="0" borderId="10" xfId="0" applyFont="1" applyBorder="1" applyAlignment="1">
      <alignment horizontal="center" vertical="center"/>
    </xf>
    <xf numFmtId="164" fontId="2" fillId="2" borderId="15" xfId="1" quotePrefix="1" applyNumberFormat="1" applyFont="1" applyFill="1" applyBorder="1" applyAlignment="1">
      <alignment horizontal="center" vertical="center"/>
    </xf>
    <xf numFmtId="164" fontId="2" fillId="0" borderId="15" xfId="1" quotePrefix="1" applyNumberFormat="1" applyFont="1" applyFill="1" applyBorder="1" applyAlignment="1">
      <alignment horizontal="center" vertical="center"/>
    </xf>
    <xf numFmtId="9" fontId="2" fillId="0" borderId="0" xfId="1" applyFont="1" applyBorder="1" applyAlignment="1">
      <alignment horizontal="center"/>
    </xf>
    <xf numFmtId="164" fontId="2" fillId="0" borderId="15" xfId="0" applyNumberFormat="1" applyFont="1" applyBorder="1" applyAlignment="1">
      <alignment horizontal="center" vertical="center"/>
    </xf>
    <xf numFmtId="0" fontId="2" fillId="0" borderId="17" xfId="0" quotePrefix="1" applyFont="1" applyBorder="1" applyAlignment="1">
      <alignment horizontal="center"/>
    </xf>
    <xf numFmtId="9" fontId="2" fillId="0" borderId="17" xfId="1" applyFont="1" applyBorder="1" applyAlignment="1">
      <alignment horizontal="center"/>
    </xf>
    <xf numFmtId="0" fontId="2" fillId="0" borderId="17" xfId="0" applyFont="1" applyBorder="1" applyAlignment="1">
      <alignment horizontal="center"/>
    </xf>
    <xf numFmtId="0" fontId="2" fillId="0" borderId="17" xfId="0" quotePrefix="1" applyFont="1" applyBorder="1" applyAlignment="1">
      <alignment horizontal="center" vertical="center"/>
    </xf>
    <xf numFmtId="164" fontId="2" fillId="0" borderId="18" xfId="1" quotePrefix="1" applyNumberFormat="1" applyFont="1" applyFill="1" applyBorder="1" applyAlignment="1">
      <alignment horizontal="center" vertical="center"/>
    </xf>
    <xf numFmtId="0" fontId="2" fillId="0" borderId="0" xfId="0" applyFont="1" applyFill="1" applyBorder="1" applyAlignment="1">
      <alignment horizontal="left"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20"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wrapText="1"/>
    </xf>
    <xf numFmtId="0" fontId="2" fillId="2" borderId="4" xfId="0" applyFont="1" applyFill="1" applyBorder="1" applyAlignment="1">
      <alignment horizontal="center" wrapText="1"/>
    </xf>
    <xf numFmtId="0" fontId="1" fillId="3" borderId="19"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5" xfId="0" applyFont="1" applyBorder="1" applyAlignment="1">
      <alignment horizontal="center" vertical="center" wrapText="1"/>
    </xf>
  </cellXfs>
  <cellStyles count="5">
    <cellStyle name="Check" xfId="2" xr:uid="{CD9360F6-CC24-F541-9064-805882EECB76}"/>
    <cellStyle name="Deleterious" xfId="3" xr:uid="{91C3FE06-11E8-8E46-A282-2EF037509C16}"/>
    <cellStyle name="Normal" xfId="0" builtinId="0"/>
    <cellStyle name="Per cent" xfId="1" builtinId="5"/>
    <cellStyle name="Somatic" xfId="4" xr:uid="{798311B8-447A-F949-B3D8-722370BDB4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07080-0882-734C-8FA9-9B3F9973DB57}">
  <dimension ref="A1:E40"/>
  <sheetViews>
    <sheetView workbookViewId="0">
      <selection activeCell="A5" sqref="A5:B40"/>
    </sheetView>
  </sheetViews>
  <sheetFormatPr baseColWidth="10" defaultRowHeight="16" x14ac:dyDescent="0.2"/>
  <cols>
    <col min="1" max="1" width="26.1640625" style="24" customWidth="1"/>
    <col min="2" max="2" width="26.1640625" style="1" customWidth="1"/>
    <col min="3" max="4" width="26.1640625" style="24" customWidth="1"/>
    <col min="5" max="16384" width="10.83203125" style="24"/>
  </cols>
  <sheetData>
    <row r="1" spans="1:2" x14ac:dyDescent="0.2">
      <c r="A1" s="36" t="s">
        <v>253</v>
      </c>
    </row>
    <row r="2" spans="1:2" x14ac:dyDescent="0.2">
      <c r="A2" s="64" t="s">
        <v>195</v>
      </c>
    </row>
    <row r="4" spans="1:2" ht="17" thickBot="1" x14ac:dyDescent="0.25"/>
    <row r="5" spans="1:2" x14ac:dyDescent="0.2">
      <c r="A5" s="149" t="s">
        <v>6</v>
      </c>
      <c r="B5" s="150"/>
    </row>
    <row r="6" spans="1:2" ht="17" x14ac:dyDescent="0.2">
      <c r="A6" s="2" t="s">
        <v>1</v>
      </c>
      <c r="B6" s="3">
        <v>50</v>
      </c>
    </row>
    <row r="7" spans="1:2" ht="17" x14ac:dyDescent="0.2">
      <c r="A7" s="2" t="s">
        <v>2</v>
      </c>
      <c r="B7" s="3">
        <v>8</v>
      </c>
    </row>
    <row r="8" spans="1:2" ht="16" customHeight="1" x14ac:dyDescent="0.2">
      <c r="A8" s="151" t="s">
        <v>4</v>
      </c>
      <c r="B8" s="152"/>
    </row>
    <row r="9" spans="1:2" ht="17" x14ac:dyDescent="0.2">
      <c r="A9" s="2" t="s">
        <v>0</v>
      </c>
      <c r="B9" s="3" t="s">
        <v>8</v>
      </c>
    </row>
    <row r="10" spans="1:2" ht="17" x14ac:dyDescent="0.2">
      <c r="A10" s="2" t="s">
        <v>1</v>
      </c>
      <c r="B10" s="3" t="s">
        <v>13</v>
      </c>
    </row>
    <row r="11" spans="1:2" ht="17" x14ac:dyDescent="0.2">
      <c r="A11" s="2" t="s">
        <v>2</v>
      </c>
      <c r="B11" s="3" t="s">
        <v>13</v>
      </c>
    </row>
    <row r="12" spans="1:2" ht="17" x14ac:dyDescent="0.2">
      <c r="A12" s="2" t="s">
        <v>3</v>
      </c>
      <c r="B12" s="3" t="s">
        <v>5</v>
      </c>
    </row>
    <row r="13" spans="1:2" ht="16" customHeight="1" x14ac:dyDescent="0.2">
      <c r="A13" s="151" t="s">
        <v>264</v>
      </c>
      <c r="B13" s="152"/>
    </row>
    <row r="14" spans="1:2" ht="17" x14ac:dyDescent="0.2">
      <c r="A14" s="2" t="s">
        <v>0</v>
      </c>
      <c r="B14" s="3" t="s">
        <v>7</v>
      </c>
    </row>
    <row r="15" spans="1:2" ht="17" x14ac:dyDescent="0.2">
      <c r="A15" s="2" t="s">
        <v>1</v>
      </c>
      <c r="B15" s="3">
        <v>74</v>
      </c>
    </row>
    <row r="16" spans="1:2" ht="17" x14ac:dyDescent="0.2">
      <c r="A16" s="2" t="s">
        <v>2</v>
      </c>
      <c r="B16" s="3">
        <v>36</v>
      </c>
    </row>
    <row r="17" spans="1:5" ht="17" x14ac:dyDescent="0.2">
      <c r="A17" s="2" t="s">
        <v>3</v>
      </c>
      <c r="B17" s="3">
        <v>0.01</v>
      </c>
    </row>
    <row r="18" spans="1:5" x14ac:dyDescent="0.2">
      <c r="A18" s="151" t="s">
        <v>265</v>
      </c>
      <c r="B18" s="152"/>
    </row>
    <row r="19" spans="1:5" ht="17" x14ac:dyDescent="0.2">
      <c r="A19" s="2" t="s">
        <v>0</v>
      </c>
      <c r="B19" s="3" t="s">
        <v>7</v>
      </c>
    </row>
    <row r="20" spans="1:5" ht="17" x14ac:dyDescent="0.2">
      <c r="A20" s="2" t="s">
        <v>1</v>
      </c>
      <c r="B20" s="3">
        <v>95</v>
      </c>
    </row>
    <row r="21" spans="1:5" ht="17" x14ac:dyDescent="0.2">
      <c r="A21" s="2" t="s">
        <v>2</v>
      </c>
      <c r="B21" s="3">
        <v>47</v>
      </c>
    </row>
    <row r="22" spans="1:5" ht="17" x14ac:dyDescent="0.2">
      <c r="A22" s="2" t="s">
        <v>3</v>
      </c>
      <c r="B22" s="3" t="s">
        <v>5</v>
      </c>
    </row>
    <row r="23" spans="1:5" x14ac:dyDescent="0.2">
      <c r="A23" s="151" t="s">
        <v>213</v>
      </c>
      <c r="B23" s="152"/>
    </row>
    <row r="24" spans="1:5" ht="17" x14ac:dyDescent="0.2">
      <c r="A24" s="2" t="s">
        <v>0</v>
      </c>
      <c r="B24" s="3" t="s">
        <v>7</v>
      </c>
      <c r="D24" s="127"/>
      <c r="E24" s="127"/>
    </row>
    <row r="25" spans="1:5" ht="17" x14ac:dyDescent="0.2">
      <c r="A25" s="2" t="s">
        <v>1</v>
      </c>
      <c r="B25" s="3">
        <v>95</v>
      </c>
      <c r="D25" s="127"/>
      <c r="E25" s="127"/>
    </row>
    <row r="26" spans="1:5" ht="17" x14ac:dyDescent="0.2">
      <c r="A26" s="2" t="s">
        <v>2</v>
      </c>
      <c r="B26" s="3">
        <v>50</v>
      </c>
      <c r="D26" s="127"/>
      <c r="E26" s="127"/>
    </row>
    <row r="27" spans="1:5" ht="18" thickBot="1" x14ac:dyDescent="0.25">
      <c r="A27" s="4" t="s">
        <v>3</v>
      </c>
      <c r="B27" s="5" t="s">
        <v>5</v>
      </c>
      <c r="D27" s="128"/>
      <c r="E27" s="127"/>
    </row>
    <row r="28" spans="1:5" x14ac:dyDescent="0.2">
      <c r="A28" s="149" t="s">
        <v>251</v>
      </c>
      <c r="B28" s="150"/>
      <c r="D28" s="127"/>
      <c r="E28" s="127"/>
    </row>
    <row r="29" spans="1:5" ht="17" x14ac:dyDescent="0.2">
      <c r="A29" s="2" t="s">
        <v>1</v>
      </c>
      <c r="B29" s="106">
        <v>25</v>
      </c>
      <c r="D29" s="127"/>
      <c r="E29" s="130"/>
    </row>
    <row r="30" spans="1:5" ht="17" x14ac:dyDescent="0.2">
      <c r="A30" s="2" t="s">
        <v>2</v>
      </c>
      <c r="B30" s="106">
        <v>4</v>
      </c>
      <c r="D30" s="127"/>
      <c r="E30" s="127"/>
    </row>
    <row r="31" spans="1:5" x14ac:dyDescent="0.2">
      <c r="A31" s="151" t="s">
        <v>252</v>
      </c>
      <c r="B31" s="152"/>
      <c r="D31" s="127"/>
      <c r="E31" s="127"/>
    </row>
    <row r="32" spans="1:5" ht="17" x14ac:dyDescent="0.2">
      <c r="A32" s="2" t="s">
        <v>0</v>
      </c>
      <c r="B32" s="106" t="s">
        <v>8</v>
      </c>
    </row>
    <row r="33" spans="1:2" ht="17" x14ac:dyDescent="0.2">
      <c r="A33" s="2" t="s">
        <v>1</v>
      </c>
      <c r="B33" s="106" t="s">
        <v>13</v>
      </c>
    </row>
    <row r="34" spans="1:2" ht="17" x14ac:dyDescent="0.2">
      <c r="A34" s="2" t="s">
        <v>2</v>
      </c>
      <c r="B34" s="106" t="s">
        <v>13</v>
      </c>
    </row>
    <row r="35" spans="1:2" ht="17" x14ac:dyDescent="0.2">
      <c r="A35" s="2" t="s">
        <v>3</v>
      </c>
      <c r="B35" s="106" t="s">
        <v>5</v>
      </c>
    </row>
    <row r="36" spans="1:2" x14ac:dyDescent="0.2">
      <c r="A36" s="151" t="s">
        <v>266</v>
      </c>
      <c r="B36" s="152"/>
    </row>
    <row r="37" spans="1:2" ht="17" x14ac:dyDescent="0.2">
      <c r="A37" s="2" t="s">
        <v>0</v>
      </c>
      <c r="B37" s="106" t="s">
        <v>7</v>
      </c>
    </row>
    <row r="38" spans="1:2" ht="17" x14ac:dyDescent="0.2">
      <c r="A38" s="2" t="s">
        <v>1</v>
      </c>
      <c r="B38" s="106">
        <v>109</v>
      </c>
    </row>
    <row r="39" spans="1:2" ht="17" x14ac:dyDescent="0.2">
      <c r="A39" s="2" t="s">
        <v>2</v>
      </c>
      <c r="B39" s="106">
        <v>81</v>
      </c>
    </row>
    <row r="40" spans="1:2" ht="18" thickBot="1" x14ac:dyDescent="0.25">
      <c r="A40" s="4" t="s">
        <v>3</v>
      </c>
      <c r="B40" s="129">
        <v>1.3344999999999999E-2</v>
      </c>
    </row>
  </sheetData>
  <mergeCells count="8">
    <mergeCell ref="A5:B5"/>
    <mergeCell ref="A28:B28"/>
    <mergeCell ref="A31:B31"/>
    <mergeCell ref="A36:B36"/>
    <mergeCell ref="A8:B8"/>
    <mergeCell ref="A13:B13"/>
    <mergeCell ref="A18:B18"/>
    <mergeCell ref="A23:B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4D7E8-1830-EE44-8B0D-FC72A83A6819}">
  <dimension ref="A1:O16"/>
  <sheetViews>
    <sheetView workbookViewId="0">
      <selection activeCell="E17" sqref="E17"/>
    </sheetView>
  </sheetViews>
  <sheetFormatPr baseColWidth="10" defaultRowHeight="16" x14ac:dyDescent="0.2"/>
  <cols>
    <col min="1" max="1" width="15.83203125" style="24" customWidth="1"/>
    <col min="2" max="2" width="13.33203125" style="24" customWidth="1"/>
    <col min="3" max="3" width="9.83203125" style="24" customWidth="1"/>
    <col min="4" max="4" width="15" style="24" customWidth="1"/>
    <col min="5" max="5" width="16.33203125" style="24" customWidth="1"/>
    <col min="6" max="6" width="16.6640625" style="24" customWidth="1"/>
    <col min="7" max="7" width="23.1640625" style="24" bestFit="1" customWidth="1"/>
    <col min="8" max="8" width="9.1640625" style="24" bestFit="1" customWidth="1"/>
    <col min="9" max="9" width="10.33203125" style="24" bestFit="1" customWidth="1"/>
    <col min="10" max="10" width="8.6640625" style="24" bestFit="1" customWidth="1"/>
    <col min="11" max="11" width="6" style="24" bestFit="1" customWidth="1"/>
    <col min="12" max="12" width="9.83203125" style="24" bestFit="1" customWidth="1"/>
    <col min="13" max="13" width="10.83203125" style="24"/>
    <col min="14" max="14" width="18.6640625" style="24" customWidth="1"/>
    <col min="15" max="15" width="21.6640625" style="24" customWidth="1"/>
    <col min="16" max="16384" width="10.83203125" style="24"/>
  </cols>
  <sheetData>
    <row r="1" spans="1:15" x14ac:dyDescent="0.2">
      <c r="A1" s="36" t="s">
        <v>272</v>
      </c>
    </row>
    <row r="2" spans="1:15" x14ac:dyDescent="0.2">
      <c r="A2" s="157" t="s">
        <v>262</v>
      </c>
      <c r="B2" s="157"/>
      <c r="C2" s="157"/>
      <c r="D2" s="157"/>
      <c r="E2" s="157"/>
      <c r="F2" s="157"/>
      <c r="G2" s="157"/>
      <c r="H2" s="157"/>
      <c r="I2" s="157"/>
      <c r="J2" s="157"/>
      <c r="K2" s="157"/>
      <c r="L2" s="157"/>
      <c r="M2" s="157"/>
      <c r="N2" s="157"/>
      <c r="O2" s="157"/>
    </row>
    <row r="3" spans="1:15" ht="39" customHeight="1" x14ac:dyDescent="0.2">
      <c r="A3" s="157"/>
      <c r="B3" s="157"/>
      <c r="C3" s="157"/>
      <c r="D3" s="157"/>
      <c r="E3" s="157"/>
      <c r="F3" s="157"/>
      <c r="G3" s="157"/>
      <c r="H3" s="157"/>
      <c r="I3" s="157"/>
      <c r="J3" s="157"/>
      <c r="K3" s="157"/>
      <c r="L3" s="157"/>
      <c r="M3" s="157"/>
      <c r="N3" s="157"/>
      <c r="O3" s="157"/>
    </row>
    <row r="4" spans="1:15" ht="17" thickBot="1" x14ac:dyDescent="0.25"/>
    <row r="5" spans="1:15" s="11" customFormat="1" ht="86" thickBot="1" x14ac:dyDescent="0.25">
      <c r="A5" s="6" t="s">
        <v>223</v>
      </c>
      <c r="B5" s="7" t="s">
        <v>15</v>
      </c>
      <c r="C5" s="7" t="s">
        <v>16</v>
      </c>
      <c r="D5" s="7" t="s">
        <v>17</v>
      </c>
      <c r="E5" s="7" t="s">
        <v>18</v>
      </c>
      <c r="F5" s="7" t="s">
        <v>19</v>
      </c>
      <c r="G5" s="7" t="s">
        <v>20</v>
      </c>
      <c r="H5" s="7" t="s">
        <v>21</v>
      </c>
      <c r="I5" s="8" t="s">
        <v>22</v>
      </c>
      <c r="J5" s="7" t="s">
        <v>23</v>
      </c>
      <c r="K5" s="9" t="s">
        <v>24</v>
      </c>
      <c r="L5" s="7" t="s">
        <v>25</v>
      </c>
      <c r="M5" s="7" t="s">
        <v>26</v>
      </c>
      <c r="N5" s="7" t="s">
        <v>27</v>
      </c>
      <c r="O5" s="10" t="s">
        <v>258</v>
      </c>
    </row>
    <row r="6" spans="1:15" s="11" customFormat="1" ht="22" customHeight="1" x14ac:dyDescent="0.2">
      <c r="A6" s="153" t="s">
        <v>224</v>
      </c>
      <c r="B6" s="12" t="s">
        <v>28</v>
      </c>
      <c r="C6" s="99" t="s">
        <v>29</v>
      </c>
      <c r="D6" s="12" t="s">
        <v>30</v>
      </c>
      <c r="E6" s="12" t="s">
        <v>31</v>
      </c>
      <c r="F6" s="12" t="s">
        <v>32</v>
      </c>
      <c r="G6" s="12" t="s">
        <v>33</v>
      </c>
      <c r="H6" s="12">
        <v>182</v>
      </c>
      <c r="I6" s="13">
        <f>117/182</f>
        <v>0.6428571428571429</v>
      </c>
      <c r="J6" s="12"/>
      <c r="K6" s="14"/>
      <c r="L6" s="12"/>
      <c r="M6" s="12"/>
      <c r="N6" s="12" t="s">
        <v>34</v>
      </c>
      <c r="O6" s="15" t="s">
        <v>35</v>
      </c>
    </row>
    <row r="7" spans="1:15" s="11" customFormat="1" ht="22" customHeight="1" thickBot="1" x14ac:dyDescent="0.25">
      <c r="A7" s="154"/>
      <c r="B7" s="20" t="s">
        <v>36</v>
      </c>
      <c r="C7" s="100" t="s">
        <v>37</v>
      </c>
      <c r="D7" s="20" t="s">
        <v>38</v>
      </c>
      <c r="E7" s="20"/>
      <c r="F7" s="20"/>
      <c r="G7" s="20" t="s">
        <v>39</v>
      </c>
      <c r="H7" s="20"/>
      <c r="I7" s="23"/>
      <c r="J7" s="20">
        <v>1</v>
      </c>
      <c r="K7" s="21" t="s">
        <v>40</v>
      </c>
      <c r="L7" s="20" t="s">
        <v>41</v>
      </c>
      <c r="M7" s="20" t="s">
        <v>42</v>
      </c>
      <c r="N7" s="20"/>
      <c r="O7" s="22"/>
    </row>
    <row r="8" spans="1:15" s="11" customFormat="1" ht="22" customHeight="1" x14ac:dyDescent="0.2">
      <c r="A8" s="153" t="s">
        <v>225</v>
      </c>
      <c r="B8" s="12" t="s">
        <v>28</v>
      </c>
      <c r="C8" s="99" t="s">
        <v>29</v>
      </c>
      <c r="D8" s="12" t="s">
        <v>30</v>
      </c>
      <c r="E8" s="12" t="s">
        <v>31</v>
      </c>
      <c r="F8" s="12" t="s">
        <v>32</v>
      </c>
      <c r="G8" s="12" t="s">
        <v>33</v>
      </c>
      <c r="H8" s="12">
        <v>105</v>
      </c>
      <c r="I8" s="13">
        <f>104/105</f>
        <v>0.99047619047619051</v>
      </c>
      <c r="J8" s="12"/>
      <c r="K8" s="14"/>
      <c r="L8" s="12"/>
      <c r="M8" s="12"/>
      <c r="N8" s="12" t="s">
        <v>34</v>
      </c>
      <c r="O8" s="15" t="s">
        <v>35</v>
      </c>
    </row>
    <row r="9" spans="1:15" s="11" customFormat="1" ht="22" customHeight="1" x14ac:dyDescent="0.2">
      <c r="A9" s="155"/>
      <c r="B9" s="16" t="s">
        <v>28</v>
      </c>
      <c r="C9" s="101" t="s">
        <v>43</v>
      </c>
      <c r="D9" s="16" t="s">
        <v>44</v>
      </c>
      <c r="E9" s="16" t="s">
        <v>45</v>
      </c>
      <c r="F9" s="16" t="s">
        <v>46</v>
      </c>
      <c r="G9" s="16" t="s">
        <v>47</v>
      </c>
      <c r="H9" s="16">
        <v>254</v>
      </c>
      <c r="I9" s="17">
        <f>129/254</f>
        <v>0.50787401574803148</v>
      </c>
      <c r="J9" s="16"/>
      <c r="K9" s="18"/>
      <c r="L9" s="16"/>
      <c r="M9" s="16"/>
      <c r="N9" s="16" t="s">
        <v>34</v>
      </c>
      <c r="O9" s="19" t="s">
        <v>35</v>
      </c>
    </row>
    <row r="10" spans="1:15" s="11" customFormat="1" ht="22" customHeight="1" thickBot="1" x14ac:dyDescent="0.25">
      <c r="A10" s="156"/>
      <c r="B10" s="110" t="s">
        <v>36</v>
      </c>
      <c r="C10" s="111" t="s">
        <v>37</v>
      </c>
      <c r="D10" s="110" t="s">
        <v>38</v>
      </c>
      <c r="E10" s="110"/>
      <c r="F10" s="110"/>
      <c r="G10" s="110" t="s">
        <v>39</v>
      </c>
      <c r="H10" s="110"/>
      <c r="I10" s="110"/>
      <c r="J10" s="110">
        <v>1</v>
      </c>
      <c r="K10" s="112" t="s">
        <v>40</v>
      </c>
      <c r="L10" s="110" t="s">
        <v>41</v>
      </c>
      <c r="M10" s="110" t="s">
        <v>48</v>
      </c>
      <c r="N10" s="110"/>
      <c r="O10" s="113"/>
    </row>
    <row r="11" spans="1:15" s="134" customFormat="1" ht="22" customHeight="1" x14ac:dyDescent="0.2">
      <c r="A11" s="158" t="s">
        <v>243</v>
      </c>
      <c r="B11" s="123" t="s">
        <v>28</v>
      </c>
      <c r="C11" s="124" t="s">
        <v>226</v>
      </c>
      <c r="D11" s="123" t="s">
        <v>229</v>
      </c>
      <c r="E11" s="123" t="s">
        <v>232</v>
      </c>
      <c r="F11" s="123"/>
      <c r="G11" s="114" t="s">
        <v>238</v>
      </c>
      <c r="H11" s="12">
        <v>489</v>
      </c>
      <c r="I11" s="115">
        <v>0.6482617586912065</v>
      </c>
      <c r="J11" s="12"/>
      <c r="K11" s="123"/>
      <c r="L11" s="123"/>
      <c r="M11" s="123"/>
      <c r="N11" s="123" t="s">
        <v>34</v>
      </c>
      <c r="O11" s="133" t="s">
        <v>35</v>
      </c>
    </row>
    <row r="12" spans="1:15" s="134" customFormat="1" ht="34" x14ac:dyDescent="0.2">
      <c r="A12" s="159"/>
      <c r="B12" s="118" t="s">
        <v>28</v>
      </c>
      <c r="C12" s="122" t="s">
        <v>227</v>
      </c>
      <c r="D12" s="118" t="s">
        <v>230</v>
      </c>
      <c r="E12" s="118" t="s">
        <v>233</v>
      </c>
      <c r="F12" s="118" t="s">
        <v>236</v>
      </c>
      <c r="G12" s="16" t="s">
        <v>239</v>
      </c>
      <c r="H12" s="16">
        <v>636</v>
      </c>
      <c r="I12" s="108">
        <v>0.61006289308176098</v>
      </c>
      <c r="J12" s="16"/>
      <c r="K12" s="118"/>
      <c r="L12" s="118"/>
      <c r="M12" s="118"/>
      <c r="N12" s="102" t="s">
        <v>259</v>
      </c>
      <c r="O12" s="135" t="s">
        <v>35</v>
      </c>
    </row>
    <row r="13" spans="1:15" s="134" customFormat="1" ht="34" x14ac:dyDescent="0.2">
      <c r="A13" s="159"/>
      <c r="B13" s="118" t="s">
        <v>28</v>
      </c>
      <c r="C13" s="122" t="s">
        <v>228</v>
      </c>
      <c r="D13" s="118" t="s">
        <v>231</v>
      </c>
      <c r="E13" s="118" t="s">
        <v>234</v>
      </c>
      <c r="F13" s="118" t="s">
        <v>237</v>
      </c>
      <c r="G13" s="107" t="s">
        <v>240</v>
      </c>
      <c r="H13" s="16">
        <v>482</v>
      </c>
      <c r="I13" s="109">
        <v>0.32572614107883818</v>
      </c>
      <c r="J13" s="16"/>
      <c r="K13" s="118"/>
      <c r="L13" s="118"/>
      <c r="M13" s="118"/>
      <c r="N13" s="102" t="s">
        <v>260</v>
      </c>
      <c r="O13" s="136" t="s">
        <v>261</v>
      </c>
    </row>
    <row r="14" spans="1:15" s="134" customFormat="1" ht="22" customHeight="1" x14ac:dyDescent="0.2">
      <c r="A14" s="159"/>
      <c r="B14" s="118" t="s">
        <v>36</v>
      </c>
      <c r="C14" s="122" t="s">
        <v>244</v>
      </c>
      <c r="D14" s="118" t="s">
        <v>245</v>
      </c>
      <c r="E14" s="118" t="s">
        <v>246</v>
      </c>
      <c r="F14" s="118" t="s">
        <v>247</v>
      </c>
      <c r="G14" s="107" t="s">
        <v>248</v>
      </c>
      <c r="H14" s="16"/>
      <c r="I14" s="109"/>
      <c r="J14" s="16">
        <v>1</v>
      </c>
      <c r="K14" s="118" t="s">
        <v>249</v>
      </c>
      <c r="L14" s="118" t="s">
        <v>242</v>
      </c>
      <c r="M14" s="118" t="s">
        <v>250</v>
      </c>
      <c r="N14" s="118"/>
      <c r="O14" s="135"/>
    </row>
    <row r="15" spans="1:15" s="134" customFormat="1" ht="22" customHeight="1" thickBot="1" x14ac:dyDescent="0.25">
      <c r="A15" s="160"/>
      <c r="B15" s="125" t="s">
        <v>28</v>
      </c>
      <c r="C15" s="126" t="s">
        <v>29</v>
      </c>
      <c r="D15" s="125" t="s">
        <v>30</v>
      </c>
      <c r="E15" s="125" t="s">
        <v>235</v>
      </c>
      <c r="F15" s="125"/>
      <c r="G15" s="116" t="s">
        <v>241</v>
      </c>
      <c r="H15" s="20">
        <v>494</v>
      </c>
      <c r="I15" s="117">
        <v>0.75708502024291502</v>
      </c>
      <c r="J15" s="20"/>
      <c r="K15" s="125"/>
      <c r="L15" s="125"/>
      <c r="M15" s="125"/>
      <c r="N15" s="125" t="s">
        <v>34</v>
      </c>
      <c r="O15" s="137" t="s">
        <v>35</v>
      </c>
    </row>
    <row r="16" spans="1:15" x14ac:dyDescent="0.2">
      <c r="A16" s="120"/>
      <c r="B16" s="120"/>
      <c r="C16" s="120"/>
      <c r="D16" s="120"/>
      <c r="E16" s="120"/>
      <c r="F16" s="120"/>
      <c r="G16" s="119"/>
      <c r="H16" s="119"/>
      <c r="I16" s="121"/>
      <c r="J16" s="119"/>
      <c r="K16" s="120"/>
      <c r="L16" s="120"/>
      <c r="M16" s="120"/>
      <c r="N16" s="120"/>
      <c r="O16" s="120"/>
    </row>
  </sheetData>
  <mergeCells count="4">
    <mergeCell ref="A6:A7"/>
    <mergeCell ref="A8:A10"/>
    <mergeCell ref="A2:O3"/>
    <mergeCell ref="A11:A1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67F03-F7A4-6045-BE03-419DD74214B8}">
  <dimension ref="A1:D32"/>
  <sheetViews>
    <sheetView workbookViewId="0">
      <selection activeCell="A5" sqref="A5:D32"/>
    </sheetView>
  </sheetViews>
  <sheetFormatPr baseColWidth="10" defaultRowHeight="16" x14ac:dyDescent="0.2"/>
  <cols>
    <col min="1" max="1" width="26.5" style="24" customWidth="1"/>
    <col min="2" max="2" width="22.5" style="1" customWidth="1"/>
    <col min="3" max="3" width="26.5" style="24" customWidth="1"/>
    <col min="4" max="4" width="22.5" style="1" customWidth="1"/>
    <col min="5" max="16384" width="10.83203125" style="24"/>
  </cols>
  <sheetData>
    <row r="1" spans="1:4" x14ac:dyDescent="0.2">
      <c r="A1" s="37" t="s">
        <v>101</v>
      </c>
    </row>
    <row r="2" spans="1:4" x14ac:dyDescent="0.2">
      <c r="A2" s="64" t="s">
        <v>195</v>
      </c>
    </row>
    <row r="4" spans="1:4" ht="17" thickBot="1" x14ac:dyDescent="0.25"/>
    <row r="5" spans="1:4" x14ac:dyDescent="0.2">
      <c r="A5" s="149" t="s">
        <v>9</v>
      </c>
      <c r="B5" s="167"/>
      <c r="C5" s="167" t="s">
        <v>11</v>
      </c>
      <c r="D5" s="150"/>
    </row>
    <row r="6" spans="1:4" ht="17" x14ac:dyDescent="0.2">
      <c r="A6" s="2" t="s">
        <v>1</v>
      </c>
      <c r="B6" s="39">
        <v>8</v>
      </c>
      <c r="C6" s="38" t="s">
        <v>1</v>
      </c>
      <c r="D6" s="40">
        <v>15</v>
      </c>
    </row>
    <row r="7" spans="1:4" ht="17" x14ac:dyDescent="0.2">
      <c r="A7" s="2" t="s">
        <v>2</v>
      </c>
      <c r="B7" s="39">
        <v>4</v>
      </c>
      <c r="C7" s="38" t="s">
        <v>2</v>
      </c>
      <c r="D7" s="40">
        <v>4</v>
      </c>
    </row>
    <row r="8" spans="1:4" ht="17" x14ac:dyDescent="0.2">
      <c r="A8" s="2" t="s">
        <v>109</v>
      </c>
      <c r="B8" s="165">
        <v>1.4800000000000001E-2</v>
      </c>
      <c r="C8" s="165"/>
      <c r="D8" s="166"/>
    </row>
    <row r="9" spans="1:4" ht="33" customHeight="1" x14ac:dyDescent="0.2">
      <c r="A9" s="151" t="s">
        <v>10</v>
      </c>
      <c r="B9" s="168"/>
      <c r="C9" s="168" t="s">
        <v>12</v>
      </c>
      <c r="D9" s="152"/>
    </row>
    <row r="10" spans="1:4" ht="17" x14ac:dyDescent="0.2">
      <c r="A10" s="2" t="s">
        <v>0</v>
      </c>
      <c r="B10" s="39" t="s">
        <v>8</v>
      </c>
      <c r="C10" s="38" t="s">
        <v>0</v>
      </c>
      <c r="D10" s="40" t="s">
        <v>8</v>
      </c>
    </row>
    <row r="11" spans="1:4" ht="17" x14ac:dyDescent="0.2">
      <c r="A11" s="2" t="s">
        <v>1</v>
      </c>
      <c r="B11" s="39" t="s">
        <v>13</v>
      </c>
      <c r="C11" s="38" t="s">
        <v>1</v>
      </c>
      <c r="D11" s="40">
        <v>109</v>
      </c>
    </row>
    <row r="12" spans="1:4" ht="17" x14ac:dyDescent="0.2">
      <c r="A12" s="2" t="s">
        <v>2</v>
      </c>
      <c r="B12" s="39" t="s">
        <v>13</v>
      </c>
      <c r="C12" s="38" t="s">
        <v>2</v>
      </c>
      <c r="D12" s="40">
        <v>106</v>
      </c>
    </row>
    <row r="13" spans="1:4" ht="17" x14ac:dyDescent="0.2">
      <c r="A13" s="2" t="s">
        <v>3</v>
      </c>
      <c r="B13" s="39">
        <v>8.0000000000000004E-4</v>
      </c>
      <c r="C13" s="38" t="s">
        <v>3</v>
      </c>
      <c r="D13" s="40">
        <v>1E-3</v>
      </c>
    </row>
    <row r="14" spans="1:4" ht="17" x14ac:dyDescent="0.2">
      <c r="A14" s="2" t="s">
        <v>109</v>
      </c>
      <c r="B14" s="165">
        <v>0.12690000000000001</v>
      </c>
      <c r="C14" s="165"/>
      <c r="D14" s="166"/>
    </row>
    <row r="15" spans="1:4" ht="33" customHeight="1" x14ac:dyDescent="0.2">
      <c r="A15" s="151" t="s">
        <v>267</v>
      </c>
      <c r="B15" s="168"/>
      <c r="C15" s="168" t="s">
        <v>268</v>
      </c>
      <c r="D15" s="152"/>
    </row>
    <row r="16" spans="1:4" ht="17" x14ac:dyDescent="0.2">
      <c r="A16" s="2" t="s">
        <v>0</v>
      </c>
      <c r="B16" s="39" t="s">
        <v>7</v>
      </c>
      <c r="C16" s="38" t="s">
        <v>0</v>
      </c>
      <c r="D16" s="40" t="s">
        <v>110</v>
      </c>
    </row>
    <row r="17" spans="1:4" ht="17" x14ac:dyDescent="0.2">
      <c r="A17" s="2" t="s">
        <v>1</v>
      </c>
      <c r="B17" s="39">
        <v>53</v>
      </c>
      <c r="C17" s="38" t="s">
        <v>1</v>
      </c>
      <c r="D17" s="40">
        <v>67</v>
      </c>
    </row>
    <row r="18" spans="1:4" ht="17" x14ac:dyDescent="0.2">
      <c r="A18" s="2" t="s">
        <v>2</v>
      </c>
      <c r="B18" s="39">
        <v>43</v>
      </c>
      <c r="C18" s="38" t="s">
        <v>2</v>
      </c>
      <c r="D18" s="40">
        <v>60</v>
      </c>
    </row>
    <row r="19" spans="1:4" ht="17" x14ac:dyDescent="0.2">
      <c r="A19" s="2" t="s">
        <v>3</v>
      </c>
      <c r="B19" s="39">
        <v>4.0000000000000002E-4</v>
      </c>
      <c r="C19" s="38" t="s">
        <v>3</v>
      </c>
      <c r="D19" s="40">
        <v>6.6900000000000001E-2</v>
      </c>
    </row>
    <row r="20" spans="1:4" ht="17" x14ac:dyDescent="0.2">
      <c r="A20" s="2" t="s">
        <v>109</v>
      </c>
      <c r="B20" s="165">
        <v>0.22750000000000001</v>
      </c>
      <c r="C20" s="165"/>
      <c r="D20" s="166"/>
    </row>
    <row r="21" spans="1:4" ht="33" customHeight="1" x14ac:dyDescent="0.2">
      <c r="A21" s="151" t="s">
        <v>269</v>
      </c>
      <c r="B21" s="168"/>
      <c r="C21" s="168" t="s">
        <v>270</v>
      </c>
      <c r="D21" s="152"/>
    </row>
    <row r="22" spans="1:4" ht="17" x14ac:dyDescent="0.2">
      <c r="A22" s="2" t="s">
        <v>0</v>
      </c>
      <c r="B22" s="39" t="s">
        <v>7</v>
      </c>
      <c r="C22" s="38" t="s">
        <v>0</v>
      </c>
      <c r="D22" s="40" t="s">
        <v>14</v>
      </c>
    </row>
    <row r="23" spans="1:4" ht="17" x14ac:dyDescent="0.2">
      <c r="A23" s="2" t="s">
        <v>1</v>
      </c>
      <c r="B23" s="39">
        <v>60</v>
      </c>
      <c r="C23" s="38" t="s">
        <v>1</v>
      </c>
      <c r="D23" s="40">
        <v>88</v>
      </c>
    </row>
    <row r="24" spans="1:4" ht="17" x14ac:dyDescent="0.2">
      <c r="A24" s="2" t="s">
        <v>2</v>
      </c>
      <c r="B24" s="39">
        <v>50</v>
      </c>
      <c r="C24" s="38" t="s">
        <v>2</v>
      </c>
      <c r="D24" s="40">
        <v>71</v>
      </c>
    </row>
    <row r="25" spans="1:4" ht="17" x14ac:dyDescent="0.2">
      <c r="A25" s="2" t="s">
        <v>3</v>
      </c>
      <c r="B25" s="39">
        <v>2.9999999999999997E-4</v>
      </c>
      <c r="C25" s="38" t="s">
        <v>3</v>
      </c>
      <c r="D25" s="40">
        <v>1.1000000000000001E-3</v>
      </c>
    </row>
    <row r="26" spans="1:4" ht="17" x14ac:dyDescent="0.2">
      <c r="A26" s="2" t="s">
        <v>109</v>
      </c>
      <c r="B26" s="163">
        <v>4.0000000000000002E-4</v>
      </c>
      <c r="C26" s="163"/>
      <c r="D26" s="164"/>
    </row>
    <row r="27" spans="1:4" ht="33" customHeight="1" x14ac:dyDescent="0.2">
      <c r="A27" s="151" t="s">
        <v>214</v>
      </c>
      <c r="B27" s="168"/>
      <c r="C27" s="168" t="s">
        <v>215</v>
      </c>
      <c r="D27" s="152"/>
    </row>
    <row r="28" spans="1:4" ht="17" x14ac:dyDescent="0.2">
      <c r="A28" s="2" t="s">
        <v>0</v>
      </c>
      <c r="B28" s="39" t="s">
        <v>7</v>
      </c>
      <c r="C28" s="38" t="s">
        <v>0</v>
      </c>
      <c r="D28" s="40" t="s">
        <v>14</v>
      </c>
    </row>
    <row r="29" spans="1:4" ht="17" x14ac:dyDescent="0.2">
      <c r="A29" s="2" t="s">
        <v>1</v>
      </c>
      <c r="B29" s="39">
        <v>53</v>
      </c>
      <c r="C29" s="38" t="s">
        <v>1</v>
      </c>
      <c r="D29" s="40">
        <v>71</v>
      </c>
    </row>
    <row r="30" spans="1:4" ht="17" x14ac:dyDescent="0.2">
      <c r="A30" s="2" t="s">
        <v>2</v>
      </c>
      <c r="B30" s="39">
        <v>43</v>
      </c>
      <c r="C30" s="38" t="s">
        <v>2</v>
      </c>
      <c r="D30" s="40">
        <v>64</v>
      </c>
    </row>
    <row r="31" spans="1:4" ht="19" customHeight="1" x14ac:dyDescent="0.2">
      <c r="A31" s="2" t="s">
        <v>3</v>
      </c>
      <c r="B31" s="39">
        <v>2.0000000000000001E-4</v>
      </c>
      <c r="C31" s="38" t="s">
        <v>3</v>
      </c>
      <c r="D31" s="40">
        <v>5.0799999999999998E-2</v>
      </c>
    </row>
    <row r="32" spans="1:4" ht="18" thickBot="1" x14ac:dyDescent="0.25">
      <c r="A32" s="4" t="s">
        <v>109</v>
      </c>
      <c r="B32" s="161">
        <v>7.6600000000000001E-2</v>
      </c>
      <c r="C32" s="161"/>
      <c r="D32" s="162"/>
    </row>
  </sheetData>
  <mergeCells count="15">
    <mergeCell ref="B32:D32"/>
    <mergeCell ref="B26:D26"/>
    <mergeCell ref="B8:D8"/>
    <mergeCell ref="A5:B5"/>
    <mergeCell ref="A9:B9"/>
    <mergeCell ref="A15:B15"/>
    <mergeCell ref="A21:B21"/>
    <mergeCell ref="A27:B27"/>
    <mergeCell ref="B14:D14"/>
    <mergeCell ref="B20:D20"/>
    <mergeCell ref="C5:D5"/>
    <mergeCell ref="C9:D9"/>
    <mergeCell ref="C15:D15"/>
    <mergeCell ref="C21:D21"/>
    <mergeCell ref="C27:D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33F27-566E-7D49-9FBD-5535B37BCA73}">
  <dimension ref="A1:D16"/>
  <sheetViews>
    <sheetView workbookViewId="0">
      <selection activeCell="A2" sqref="A2"/>
    </sheetView>
  </sheetViews>
  <sheetFormatPr baseColWidth="10" defaultRowHeight="16" x14ac:dyDescent="0.2"/>
  <cols>
    <col min="1" max="2" width="14.83203125" style="58" customWidth="1"/>
    <col min="3" max="3" width="17" style="58" customWidth="1"/>
    <col min="4" max="4" width="26.6640625" style="58" customWidth="1"/>
    <col min="5" max="16384" width="10.83203125" style="58"/>
  </cols>
  <sheetData>
    <row r="1" spans="1:4" x14ac:dyDescent="0.2">
      <c r="A1" s="63" t="s">
        <v>194</v>
      </c>
    </row>
    <row r="2" spans="1:4" x14ac:dyDescent="0.2">
      <c r="A2" s="62" t="s">
        <v>263</v>
      </c>
    </row>
    <row r="3" spans="1:4" ht="17" thickBot="1" x14ac:dyDescent="0.25">
      <c r="A3" s="62"/>
    </row>
    <row r="4" spans="1:4" ht="17" thickBot="1" x14ac:dyDescent="0.25">
      <c r="A4" s="59" t="s">
        <v>183</v>
      </c>
      <c r="B4" s="60" t="s">
        <v>184</v>
      </c>
      <c r="C4" s="60" t="s">
        <v>185</v>
      </c>
      <c r="D4" s="61" t="s">
        <v>186</v>
      </c>
    </row>
    <row r="5" spans="1:4" ht="17" customHeight="1" x14ac:dyDescent="0.2">
      <c r="A5" s="44" t="s">
        <v>187</v>
      </c>
      <c r="B5" s="45">
        <v>12970</v>
      </c>
      <c r="C5" s="45" t="s">
        <v>189</v>
      </c>
      <c r="D5" s="46" t="s">
        <v>163</v>
      </c>
    </row>
    <row r="6" spans="1:4" ht="17" customHeight="1" x14ac:dyDescent="0.2">
      <c r="A6" s="47" t="s">
        <v>187</v>
      </c>
      <c r="B6" s="43">
        <v>12971</v>
      </c>
      <c r="C6" s="43" t="s">
        <v>189</v>
      </c>
      <c r="D6" s="48" t="s">
        <v>163</v>
      </c>
    </row>
    <row r="7" spans="1:4" ht="17" customHeight="1" x14ac:dyDescent="0.2">
      <c r="A7" s="47" t="s">
        <v>187</v>
      </c>
      <c r="B7" s="43">
        <v>13039</v>
      </c>
      <c r="C7" s="43" t="s">
        <v>189</v>
      </c>
      <c r="D7" s="48" t="s">
        <v>163</v>
      </c>
    </row>
    <row r="8" spans="1:4" ht="17" customHeight="1" x14ac:dyDescent="0.2">
      <c r="A8" s="47" t="s">
        <v>187</v>
      </c>
      <c r="B8" s="43">
        <v>13288</v>
      </c>
      <c r="C8" s="43" t="s">
        <v>190</v>
      </c>
      <c r="D8" s="48" t="s">
        <v>163</v>
      </c>
    </row>
    <row r="9" spans="1:4" ht="17" customHeight="1" x14ac:dyDescent="0.2">
      <c r="A9" s="47" t="s">
        <v>187</v>
      </c>
      <c r="B9" s="43">
        <v>14002</v>
      </c>
      <c r="C9" s="43" t="s">
        <v>191</v>
      </c>
      <c r="D9" s="48" t="s">
        <v>163</v>
      </c>
    </row>
    <row r="10" spans="1:4" ht="17" customHeight="1" thickBot="1" x14ac:dyDescent="0.25">
      <c r="A10" s="56" t="s">
        <v>187</v>
      </c>
      <c r="B10" s="50">
        <v>14179</v>
      </c>
      <c r="C10" s="50" t="s">
        <v>192</v>
      </c>
      <c r="D10" s="57" t="s">
        <v>163</v>
      </c>
    </row>
    <row r="11" spans="1:4" x14ac:dyDescent="0.2">
      <c r="A11" s="52" t="s">
        <v>188</v>
      </c>
      <c r="B11" s="45">
        <v>13070</v>
      </c>
      <c r="C11" s="45" t="s">
        <v>189</v>
      </c>
      <c r="D11" s="53" t="s">
        <v>163</v>
      </c>
    </row>
    <row r="12" spans="1:4" x14ac:dyDescent="0.2">
      <c r="A12" s="54" t="s">
        <v>188</v>
      </c>
      <c r="B12" s="43">
        <v>13071</v>
      </c>
      <c r="C12" s="43" t="s">
        <v>189</v>
      </c>
      <c r="D12" s="55" t="s">
        <v>222</v>
      </c>
    </row>
    <row r="13" spans="1:4" x14ac:dyDescent="0.2">
      <c r="A13" s="54" t="s">
        <v>188</v>
      </c>
      <c r="B13" s="43">
        <v>13368</v>
      </c>
      <c r="C13" s="43" t="s">
        <v>190</v>
      </c>
      <c r="D13" s="55" t="s">
        <v>222</v>
      </c>
    </row>
    <row r="14" spans="1:4" x14ac:dyDescent="0.2">
      <c r="A14" s="54" t="s">
        <v>188</v>
      </c>
      <c r="B14" s="43">
        <v>13381</v>
      </c>
      <c r="C14" s="43" t="s">
        <v>190</v>
      </c>
      <c r="D14" s="55" t="s">
        <v>222</v>
      </c>
    </row>
    <row r="15" spans="1:4" x14ac:dyDescent="0.2">
      <c r="A15" s="54" t="s">
        <v>188</v>
      </c>
      <c r="B15" s="43">
        <v>13939</v>
      </c>
      <c r="C15" s="43" t="s">
        <v>193</v>
      </c>
      <c r="D15" s="55" t="s">
        <v>163</v>
      </c>
    </row>
    <row r="16" spans="1:4" ht="17" thickBot="1" x14ac:dyDescent="0.25">
      <c r="A16" s="49" t="s">
        <v>188</v>
      </c>
      <c r="B16" s="50">
        <v>14224</v>
      </c>
      <c r="C16" s="50" t="s">
        <v>191</v>
      </c>
      <c r="D16" s="5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9B1E1-39B0-AC4C-A926-978EE6D9E881}">
  <dimension ref="A1:K28"/>
  <sheetViews>
    <sheetView tabSelected="1" workbookViewId="0">
      <selection activeCell="M16" sqref="M16"/>
    </sheetView>
  </sheetViews>
  <sheetFormatPr baseColWidth="10" defaultRowHeight="16" x14ac:dyDescent="0.2"/>
  <cols>
    <col min="1" max="1" width="31.5" style="24" customWidth="1"/>
    <col min="2" max="11" width="11" style="24" customWidth="1"/>
    <col min="12" max="16384" width="10.83203125" style="24"/>
  </cols>
  <sheetData>
    <row r="1" spans="1:11" x14ac:dyDescent="0.2">
      <c r="A1" s="36" t="s">
        <v>274</v>
      </c>
    </row>
    <row r="2" spans="1:11" x14ac:dyDescent="0.2">
      <c r="A2" s="24" t="s">
        <v>100</v>
      </c>
    </row>
    <row r="3" spans="1:11" ht="17" thickBot="1" x14ac:dyDescent="0.25"/>
    <row r="4" spans="1:11" ht="37" customHeight="1" x14ac:dyDescent="0.2">
      <c r="A4" s="138" t="s">
        <v>88</v>
      </c>
      <c r="B4" s="172" t="s">
        <v>96</v>
      </c>
      <c r="C4" s="173"/>
      <c r="D4" s="174" t="s">
        <v>97</v>
      </c>
      <c r="E4" s="174"/>
      <c r="F4" s="174" t="s">
        <v>98</v>
      </c>
      <c r="G4" s="174"/>
      <c r="H4" s="174" t="s">
        <v>99</v>
      </c>
      <c r="I4" s="174"/>
      <c r="J4" s="174" t="s">
        <v>89</v>
      </c>
      <c r="K4" s="175"/>
    </row>
    <row r="5" spans="1:11" ht="17" customHeight="1" x14ac:dyDescent="0.2">
      <c r="A5" s="169" t="s">
        <v>50</v>
      </c>
      <c r="B5" s="170"/>
      <c r="C5" s="170"/>
      <c r="D5" s="170"/>
      <c r="E5" s="170"/>
      <c r="F5" s="170"/>
      <c r="G5" s="170"/>
      <c r="H5" s="170"/>
      <c r="I5" s="170"/>
      <c r="J5" s="170"/>
      <c r="K5" s="171"/>
    </row>
    <row r="6" spans="1:11" ht="17" x14ac:dyDescent="0.2">
      <c r="A6" s="47" t="s">
        <v>51</v>
      </c>
      <c r="B6" s="25" t="s">
        <v>52</v>
      </c>
      <c r="C6" s="26">
        <f>0/21</f>
        <v>0</v>
      </c>
      <c r="D6" s="25" t="s">
        <v>52</v>
      </c>
      <c r="E6" s="26">
        <f>0/21</f>
        <v>0</v>
      </c>
      <c r="F6" s="25" t="s">
        <v>52</v>
      </c>
      <c r="G6" s="26">
        <f>0/21</f>
        <v>0</v>
      </c>
      <c r="H6" s="25" t="s">
        <v>52</v>
      </c>
      <c r="I6" s="26">
        <f>0/21</f>
        <v>0</v>
      </c>
      <c r="J6" s="27" t="s">
        <v>53</v>
      </c>
      <c r="K6" s="139">
        <f>1/21</f>
        <v>4.7619047619047616E-2</v>
      </c>
    </row>
    <row r="7" spans="1:11" ht="17" x14ac:dyDescent="0.2">
      <c r="A7" s="47" t="s">
        <v>54</v>
      </c>
      <c r="B7" s="28" t="s">
        <v>55</v>
      </c>
      <c r="C7" s="26">
        <v>0</v>
      </c>
      <c r="D7" s="25" t="s">
        <v>56</v>
      </c>
      <c r="E7" s="26">
        <v>1.4285714285714286E-3</v>
      </c>
      <c r="F7" s="28" t="s">
        <v>55</v>
      </c>
      <c r="G7" s="29">
        <v>0</v>
      </c>
      <c r="H7" s="25" t="s">
        <v>57</v>
      </c>
      <c r="I7" s="30">
        <v>0.8571428571428571</v>
      </c>
      <c r="J7" s="31" t="s">
        <v>56</v>
      </c>
      <c r="K7" s="139">
        <f>1/7</f>
        <v>0.14285714285714285</v>
      </c>
    </row>
    <row r="8" spans="1:11" ht="17" x14ac:dyDescent="0.2">
      <c r="A8" s="47" t="s">
        <v>58</v>
      </c>
      <c r="B8" s="28" t="s">
        <v>59</v>
      </c>
      <c r="C8" s="26">
        <f>0/12</f>
        <v>0</v>
      </c>
      <c r="D8" s="25" t="s">
        <v>60</v>
      </c>
      <c r="E8" s="26">
        <f>1/12</f>
        <v>8.3333333333333329E-2</v>
      </c>
      <c r="F8" s="28" t="s">
        <v>59</v>
      </c>
      <c r="G8" s="26">
        <f>0/12</f>
        <v>0</v>
      </c>
      <c r="H8" s="25" t="s">
        <v>61</v>
      </c>
      <c r="I8" s="26">
        <f>11/12</f>
        <v>0.91666666666666663</v>
      </c>
      <c r="J8" s="31" t="s">
        <v>59</v>
      </c>
      <c r="K8" s="139">
        <f>0/12</f>
        <v>0</v>
      </c>
    </row>
    <row r="9" spans="1:11" ht="17" x14ac:dyDescent="0.2">
      <c r="A9" s="47" t="s">
        <v>62</v>
      </c>
      <c r="B9" s="25" t="s">
        <v>63</v>
      </c>
      <c r="C9" s="26">
        <f>0/10</f>
        <v>0</v>
      </c>
      <c r="D9" s="25" t="s">
        <v>63</v>
      </c>
      <c r="E9" s="26">
        <f>0/10</f>
        <v>0</v>
      </c>
      <c r="F9" s="25" t="s">
        <v>63</v>
      </c>
      <c r="G9" s="26">
        <f>0/10</f>
        <v>0</v>
      </c>
      <c r="H9" s="25" t="s">
        <v>64</v>
      </c>
      <c r="I9" s="26">
        <f>10/10</f>
        <v>1</v>
      </c>
      <c r="J9" s="27" t="s">
        <v>63</v>
      </c>
      <c r="K9" s="139">
        <f>0/10</f>
        <v>0</v>
      </c>
    </row>
    <row r="10" spans="1:11" ht="17" x14ac:dyDescent="0.2">
      <c r="A10" s="47" t="s">
        <v>104</v>
      </c>
      <c r="B10" s="25" t="s">
        <v>55</v>
      </c>
      <c r="C10" s="26">
        <f>0/7</f>
        <v>0</v>
      </c>
      <c r="D10" s="25" t="s">
        <v>55</v>
      </c>
      <c r="E10" s="26">
        <f>0/7</f>
        <v>0</v>
      </c>
      <c r="F10" s="25" t="s">
        <v>55</v>
      </c>
      <c r="G10" s="26">
        <f>0/7</f>
        <v>0</v>
      </c>
      <c r="H10" s="25" t="s">
        <v>91</v>
      </c>
      <c r="I10" s="26">
        <f>7/7</f>
        <v>1</v>
      </c>
      <c r="J10" s="31" t="s">
        <v>55</v>
      </c>
      <c r="K10" s="139">
        <f>0/7</f>
        <v>0</v>
      </c>
    </row>
    <row r="11" spans="1:11" ht="17" x14ac:dyDescent="0.2">
      <c r="A11" s="47" t="s">
        <v>105</v>
      </c>
      <c r="B11" s="25" t="s">
        <v>66</v>
      </c>
      <c r="C11" s="26">
        <f>0/2</f>
        <v>0</v>
      </c>
      <c r="D11" s="25" t="s">
        <v>66</v>
      </c>
      <c r="E11" s="26">
        <f>0/2</f>
        <v>0</v>
      </c>
      <c r="F11" s="25" t="s">
        <v>66</v>
      </c>
      <c r="G11" s="26">
        <f>0/2</f>
        <v>0</v>
      </c>
      <c r="H11" s="35" t="s">
        <v>92</v>
      </c>
      <c r="I11" s="26">
        <f>2/2</f>
        <v>1</v>
      </c>
      <c r="J11" s="31" t="s">
        <v>66</v>
      </c>
      <c r="K11" s="139">
        <f>0/2</f>
        <v>0</v>
      </c>
    </row>
    <row r="12" spans="1:11" ht="17" x14ac:dyDescent="0.2">
      <c r="A12" s="47" t="s">
        <v>106</v>
      </c>
      <c r="B12" s="25" t="s">
        <v>93</v>
      </c>
      <c r="C12" s="26">
        <f>0/11</f>
        <v>0</v>
      </c>
      <c r="D12" s="25" t="s">
        <v>93</v>
      </c>
      <c r="E12" s="26">
        <f>0/11</f>
        <v>0</v>
      </c>
      <c r="F12" s="25" t="s">
        <v>94</v>
      </c>
      <c r="G12" s="26">
        <f>3/11</f>
        <v>0.27272727272727271</v>
      </c>
      <c r="H12" s="25" t="s">
        <v>95</v>
      </c>
      <c r="I12" s="26">
        <f>8/11</f>
        <v>0.72727272727272729</v>
      </c>
      <c r="J12" s="31" t="s">
        <v>93</v>
      </c>
      <c r="K12" s="139">
        <f>0/12</f>
        <v>0</v>
      </c>
    </row>
    <row r="13" spans="1:11" ht="17" x14ac:dyDescent="0.2">
      <c r="A13" s="47" t="s">
        <v>65</v>
      </c>
      <c r="B13" s="25" t="s">
        <v>55</v>
      </c>
      <c r="C13" s="32">
        <f>0/7</f>
        <v>0</v>
      </c>
      <c r="D13" s="31" t="s">
        <v>55</v>
      </c>
      <c r="E13" s="26">
        <f>0/7</f>
        <v>0</v>
      </c>
      <c r="F13" s="25" t="s">
        <v>56</v>
      </c>
      <c r="G13" s="105">
        <f>1/7</f>
        <v>0.14285714285714285</v>
      </c>
      <c r="H13" s="25" t="s">
        <v>57</v>
      </c>
      <c r="I13" s="105">
        <f>6/7</f>
        <v>0.8571428571428571</v>
      </c>
      <c r="J13" s="31" t="s">
        <v>55</v>
      </c>
      <c r="K13" s="139">
        <f>0/8</f>
        <v>0</v>
      </c>
    </row>
    <row r="14" spans="1:11" x14ac:dyDescent="0.2">
      <c r="A14" s="169" t="s">
        <v>69</v>
      </c>
      <c r="B14" s="170"/>
      <c r="C14" s="170"/>
      <c r="D14" s="170"/>
      <c r="E14" s="170"/>
      <c r="F14" s="170"/>
      <c r="G14" s="170"/>
      <c r="H14" s="170"/>
      <c r="I14" s="170"/>
      <c r="J14" s="170"/>
      <c r="K14" s="171"/>
    </row>
    <row r="15" spans="1:11" ht="17" x14ac:dyDescent="0.2">
      <c r="A15" s="47" t="s">
        <v>51</v>
      </c>
      <c r="B15" s="33" t="s">
        <v>67</v>
      </c>
      <c r="C15" s="26">
        <f>0/6</f>
        <v>0</v>
      </c>
      <c r="D15" s="33" t="s">
        <v>67</v>
      </c>
      <c r="E15" s="26">
        <f>0/6</f>
        <v>0</v>
      </c>
      <c r="F15" s="33" t="s">
        <v>67</v>
      </c>
      <c r="G15" s="26">
        <f>0/6</f>
        <v>0</v>
      </c>
      <c r="H15" s="33" t="s">
        <v>67</v>
      </c>
      <c r="I15" s="26">
        <f>0/6</f>
        <v>0</v>
      </c>
      <c r="J15" s="33" t="s">
        <v>67</v>
      </c>
      <c r="K15" s="140">
        <f>0/6</f>
        <v>0</v>
      </c>
    </row>
    <row r="16" spans="1:11" ht="17" x14ac:dyDescent="0.2">
      <c r="A16" s="47" t="s">
        <v>54</v>
      </c>
      <c r="B16" s="28" t="s">
        <v>70</v>
      </c>
      <c r="C16" s="26">
        <f>0/4</f>
        <v>0</v>
      </c>
      <c r="D16" s="25" t="s">
        <v>71</v>
      </c>
      <c r="E16" s="26">
        <f>1/4</f>
        <v>0.25</v>
      </c>
      <c r="F16" s="28" t="s">
        <v>70</v>
      </c>
      <c r="G16" s="26">
        <f>0/4</f>
        <v>0</v>
      </c>
      <c r="H16" s="28" t="s">
        <v>70</v>
      </c>
      <c r="I16" s="26">
        <f>0/4</f>
        <v>0</v>
      </c>
      <c r="J16" s="31" t="s">
        <v>70</v>
      </c>
      <c r="K16" s="140">
        <f>0/4</f>
        <v>0</v>
      </c>
    </row>
    <row r="17" spans="1:11" ht="17" x14ac:dyDescent="0.2">
      <c r="A17" s="47" t="s">
        <v>58</v>
      </c>
      <c r="B17" s="25" t="s">
        <v>55</v>
      </c>
      <c r="C17" s="26">
        <v>0</v>
      </c>
      <c r="D17" s="25" t="s">
        <v>72</v>
      </c>
      <c r="E17" s="26">
        <f>2/7</f>
        <v>0.2857142857142857</v>
      </c>
      <c r="F17" s="25" t="s">
        <v>72</v>
      </c>
      <c r="G17" s="26">
        <f>2/7</f>
        <v>0.2857142857142857</v>
      </c>
      <c r="H17" s="25" t="s">
        <v>73</v>
      </c>
      <c r="I17" s="26">
        <f>3/7</f>
        <v>0.42857142857142855</v>
      </c>
      <c r="J17" s="31" t="s">
        <v>56</v>
      </c>
      <c r="K17" s="140">
        <f>1/7</f>
        <v>0.14285714285714285</v>
      </c>
    </row>
    <row r="18" spans="1:11" ht="17" x14ac:dyDescent="0.2">
      <c r="A18" s="47" t="s">
        <v>62</v>
      </c>
      <c r="B18" s="25" t="s">
        <v>74</v>
      </c>
      <c r="C18" s="26">
        <f>1/6</f>
        <v>0.16666666666666666</v>
      </c>
      <c r="D18" s="25" t="s">
        <v>75</v>
      </c>
      <c r="E18" s="26">
        <f>2/6</f>
        <v>0.33333333333333331</v>
      </c>
      <c r="F18" s="31" t="s">
        <v>67</v>
      </c>
      <c r="G18" s="26">
        <f>0/6</f>
        <v>0</v>
      </c>
      <c r="H18" s="25" t="s">
        <v>76</v>
      </c>
      <c r="I18" s="26">
        <f>3/6</f>
        <v>0.5</v>
      </c>
      <c r="J18" s="31" t="s">
        <v>67</v>
      </c>
      <c r="K18" s="140">
        <f>0/6</f>
        <v>0</v>
      </c>
    </row>
    <row r="19" spans="1:11" ht="17" x14ac:dyDescent="0.2">
      <c r="A19" s="47" t="s">
        <v>102</v>
      </c>
      <c r="B19" s="30" t="s">
        <v>77</v>
      </c>
      <c r="C19" s="26">
        <f>1/3</f>
        <v>0.33333333333333331</v>
      </c>
      <c r="D19" s="34" t="s">
        <v>78</v>
      </c>
      <c r="E19" s="26">
        <f>0/3</f>
        <v>0</v>
      </c>
      <c r="F19" s="34" t="s">
        <v>78</v>
      </c>
      <c r="G19" s="26">
        <f>0/3</f>
        <v>0</v>
      </c>
      <c r="H19" s="25" t="s">
        <v>79</v>
      </c>
      <c r="I19" s="26">
        <f>2/3</f>
        <v>0.66666666666666663</v>
      </c>
      <c r="J19" s="33" t="s">
        <v>78</v>
      </c>
      <c r="K19" s="140">
        <f>0/3</f>
        <v>0</v>
      </c>
    </row>
    <row r="20" spans="1:11" ht="17" x14ac:dyDescent="0.2">
      <c r="A20" s="47" t="s">
        <v>103</v>
      </c>
      <c r="B20" s="25" t="s">
        <v>80</v>
      </c>
      <c r="C20" s="26">
        <f>3/3</f>
        <v>1</v>
      </c>
      <c r="D20" s="28" t="s">
        <v>78</v>
      </c>
      <c r="E20" s="26">
        <f>0/3</f>
        <v>0</v>
      </c>
      <c r="F20" s="28" t="s">
        <v>78</v>
      </c>
      <c r="G20" s="26">
        <f>0/3</f>
        <v>0</v>
      </c>
      <c r="H20" s="28" t="s">
        <v>78</v>
      </c>
      <c r="I20" s="26">
        <f>0/3</f>
        <v>0</v>
      </c>
      <c r="J20" s="33" t="s">
        <v>78</v>
      </c>
      <c r="K20" s="140">
        <f>0/3</f>
        <v>0</v>
      </c>
    </row>
    <row r="21" spans="1:11" x14ac:dyDescent="0.2">
      <c r="A21" s="169" t="s">
        <v>81</v>
      </c>
      <c r="B21" s="170"/>
      <c r="C21" s="170"/>
      <c r="D21" s="170"/>
      <c r="E21" s="170"/>
      <c r="F21" s="170"/>
      <c r="G21" s="170"/>
      <c r="H21" s="170"/>
      <c r="I21" s="170"/>
      <c r="J21" s="170"/>
      <c r="K21" s="171"/>
    </row>
    <row r="22" spans="1:11" ht="17" x14ac:dyDescent="0.2">
      <c r="A22" s="47" t="s">
        <v>51</v>
      </c>
      <c r="B22" s="28" t="s">
        <v>67</v>
      </c>
      <c r="C22" s="26">
        <f>0/6</f>
        <v>0</v>
      </c>
      <c r="D22" s="28" t="s">
        <v>67</v>
      </c>
      <c r="E22" s="26">
        <f>0/6</f>
        <v>0</v>
      </c>
      <c r="F22" s="28" t="s">
        <v>67</v>
      </c>
      <c r="G22" s="26">
        <f t="shared" ref="G22:G24" si="0">0/5</f>
        <v>0</v>
      </c>
      <c r="H22" s="28" t="s">
        <v>68</v>
      </c>
      <c r="I22" s="26">
        <f>6/6</f>
        <v>1</v>
      </c>
      <c r="J22" s="33" t="s">
        <v>76</v>
      </c>
      <c r="K22" s="140">
        <f>3/6</f>
        <v>0.5</v>
      </c>
    </row>
    <row r="23" spans="1:11" ht="17" x14ac:dyDescent="0.2">
      <c r="A23" s="47" t="s">
        <v>54</v>
      </c>
      <c r="B23" s="28" t="s">
        <v>70</v>
      </c>
      <c r="C23" s="26">
        <f>0/4</f>
        <v>0</v>
      </c>
      <c r="D23" s="28" t="s">
        <v>70</v>
      </c>
      <c r="E23" s="26">
        <f>0/4</f>
        <v>0</v>
      </c>
      <c r="F23" s="28" t="s">
        <v>70</v>
      </c>
      <c r="G23" s="26">
        <f t="shared" si="0"/>
        <v>0</v>
      </c>
      <c r="H23" s="28" t="s">
        <v>90</v>
      </c>
      <c r="I23" s="26">
        <f>4/4</f>
        <v>1</v>
      </c>
      <c r="J23" s="33" t="s">
        <v>71</v>
      </c>
      <c r="K23" s="140">
        <f>1/4</f>
        <v>0.25</v>
      </c>
    </row>
    <row r="24" spans="1:11" ht="17" x14ac:dyDescent="0.2">
      <c r="A24" s="47" t="s">
        <v>58</v>
      </c>
      <c r="B24" s="28" t="s">
        <v>70</v>
      </c>
      <c r="C24" s="141">
        <f>0/4</f>
        <v>0</v>
      </c>
      <c r="D24" s="28" t="s">
        <v>70</v>
      </c>
      <c r="E24" s="26">
        <f>0/4</f>
        <v>0</v>
      </c>
      <c r="F24" s="28" t="s">
        <v>70</v>
      </c>
      <c r="G24" s="26">
        <f t="shared" si="0"/>
        <v>0</v>
      </c>
      <c r="H24" s="28" t="s">
        <v>90</v>
      </c>
      <c r="I24" s="26">
        <f>4/4</f>
        <v>1</v>
      </c>
      <c r="J24" s="33" t="s">
        <v>70</v>
      </c>
      <c r="K24" s="140">
        <f>0/4</f>
        <v>0</v>
      </c>
    </row>
    <row r="25" spans="1:11" ht="17" x14ac:dyDescent="0.2">
      <c r="A25" s="47" t="s">
        <v>62</v>
      </c>
      <c r="B25" s="35" t="s">
        <v>82</v>
      </c>
      <c r="C25" s="30">
        <f>1/5</f>
        <v>0.2</v>
      </c>
      <c r="D25" s="25" t="s">
        <v>83</v>
      </c>
      <c r="E25" s="30">
        <f>2/5</f>
        <v>0.4</v>
      </c>
      <c r="F25" s="25" t="s">
        <v>84</v>
      </c>
      <c r="G25" s="26">
        <f>0/5</f>
        <v>0</v>
      </c>
      <c r="H25" s="35" t="s">
        <v>83</v>
      </c>
      <c r="I25" s="30">
        <f>2/5</f>
        <v>0.4</v>
      </c>
      <c r="J25" s="33" t="s">
        <v>84</v>
      </c>
      <c r="K25" s="142">
        <f>0/5</f>
        <v>0</v>
      </c>
    </row>
    <row r="26" spans="1:11" ht="17" x14ac:dyDescent="0.2">
      <c r="A26" s="47" t="s">
        <v>102</v>
      </c>
      <c r="B26" s="25" t="s">
        <v>85</v>
      </c>
      <c r="C26" s="26">
        <f>1/1</f>
        <v>1</v>
      </c>
      <c r="D26" s="28" t="s">
        <v>86</v>
      </c>
      <c r="E26" s="26">
        <f>0/1</f>
        <v>0</v>
      </c>
      <c r="F26" s="28" t="s">
        <v>86</v>
      </c>
      <c r="G26" s="26">
        <f>0/1</f>
        <v>0</v>
      </c>
      <c r="H26" s="28" t="s">
        <v>86</v>
      </c>
      <c r="I26" s="26">
        <f>0/1</f>
        <v>0</v>
      </c>
      <c r="J26" s="31" t="s">
        <v>86</v>
      </c>
      <c r="K26" s="142">
        <f>0/1%</f>
        <v>0</v>
      </c>
    </row>
    <row r="27" spans="1:11" ht="17" x14ac:dyDescent="0.2">
      <c r="A27" s="47" t="s">
        <v>103</v>
      </c>
      <c r="B27" s="25" t="s">
        <v>87</v>
      </c>
      <c r="C27" s="26">
        <f>5/5</f>
        <v>1</v>
      </c>
      <c r="D27" s="28" t="s">
        <v>84</v>
      </c>
      <c r="E27" s="26">
        <f>0/5</f>
        <v>0</v>
      </c>
      <c r="F27" s="28" t="s">
        <v>84</v>
      </c>
      <c r="G27" s="26">
        <f t="shared" ref="G27" si="1">0/5</f>
        <v>0</v>
      </c>
      <c r="H27" s="28" t="s">
        <v>84</v>
      </c>
      <c r="I27" s="26">
        <f t="shared" ref="I27" si="2">0/5</f>
        <v>0</v>
      </c>
      <c r="J27" s="31" t="s">
        <v>84</v>
      </c>
      <c r="K27" s="142">
        <f>0/5</f>
        <v>0</v>
      </c>
    </row>
    <row r="28" spans="1:11" ht="18" thickBot="1" x14ac:dyDescent="0.25">
      <c r="A28" s="56" t="s">
        <v>65</v>
      </c>
      <c r="B28" s="143" t="s">
        <v>78</v>
      </c>
      <c r="C28" s="144">
        <f>0/3</f>
        <v>0</v>
      </c>
      <c r="D28" s="145" t="s">
        <v>78</v>
      </c>
      <c r="E28" s="144">
        <f>0/3</f>
        <v>0</v>
      </c>
      <c r="F28" s="145" t="s">
        <v>78</v>
      </c>
      <c r="G28" s="144">
        <f>0/3</f>
        <v>0</v>
      </c>
      <c r="H28" s="145" t="s">
        <v>78</v>
      </c>
      <c r="I28" s="144">
        <f>3/3</f>
        <v>1</v>
      </c>
      <c r="J28" s="146" t="s">
        <v>80</v>
      </c>
      <c r="K28" s="147">
        <f>0/3</f>
        <v>0</v>
      </c>
    </row>
  </sheetData>
  <mergeCells count="8">
    <mergeCell ref="A5:K5"/>
    <mergeCell ref="A14:K14"/>
    <mergeCell ref="A21:K21"/>
    <mergeCell ref="B4:C4"/>
    <mergeCell ref="D4:E4"/>
    <mergeCell ref="F4:G4"/>
    <mergeCell ref="H4:I4"/>
    <mergeCell ref="J4:K4"/>
  </mergeCells>
  <pageMargins left="0.7" right="0.7" top="0.75" bottom="0.75" header="0.3" footer="0.3"/>
  <ignoredErrors>
    <ignoredError sqref="G26 K26" formula="1"/>
    <ignoredError sqref="J6"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5541A-87F4-D44B-A45E-EC3B4C1D3D83}">
  <dimension ref="A1:B19"/>
  <sheetViews>
    <sheetView workbookViewId="0">
      <selection activeCell="G21" sqref="G21"/>
    </sheetView>
  </sheetViews>
  <sheetFormatPr baseColWidth="10" defaultRowHeight="16" x14ac:dyDescent="0.2"/>
  <cols>
    <col min="1" max="1" width="25.5" customWidth="1"/>
    <col min="2" max="2" width="20.33203125" customWidth="1"/>
  </cols>
  <sheetData>
    <row r="1" spans="1:2" x14ac:dyDescent="0.2">
      <c r="A1" s="36" t="s">
        <v>275</v>
      </c>
    </row>
    <row r="2" spans="1:2" x14ac:dyDescent="0.2">
      <c r="A2" s="64" t="s">
        <v>221</v>
      </c>
    </row>
    <row r="4" spans="1:2" ht="17" thickBot="1" x14ac:dyDescent="0.25"/>
    <row r="5" spans="1:2" x14ac:dyDescent="0.2">
      <c r="A5" s="149" t="s">
        <v>6</v>
      </c>
      <c r="B5" s="150"/>
    </row>
    <row r="6" spans="1:2" ht="17" x14ac:dyDescent="0.2">
      <c r="A6" s="2" t="s">
        <v>1</v>
      </c>
      <c r="B6" s="3">
        <v>50</v>
      </c>
    </row>
    <row r="7" spans="1:2" ht="17" x14ac:dyDescent="0.2">
      <c r="A7" s="2" t="s">
        <v>2</v>
      </c>
      <c r="B7" s="3">
        <v>8</v>
      </c>
    </row>
    <row r="8" spans="1:2" x14ac:dyDescent="0.2">
      <c r="A8" s="151" t="s">
        <v>49</v>
      </c>
      <c r="B8" s="152"/>
    </row>
    <row r="9" spans="1:2" ht="17" x14ac:dyDescent="0.2">
      <c r="A9" s="2" t="s">
        <v>1</v>
      </c>
      <c r="B9" s="3">
        <v>43</v>
      </c>
    </row>
    <row r="10" spans="1:2" ht="17" x14ac:dyDescent="0.2">
      <c r="A10" s="2" t="s">
        <v>2</v>
      </c>
      <c r="B10" s="3">
        <v>8</v>
      </c>
    </row>
    <row r="11" spans="1:2" ht="17" x14ac:dyDescent="0.2">
      <c r="A11" s="2" t="s">
        <v>3</v>
      </c>
      <c r="B11" s="3">
        <v>0.47499999999999998</v>
      </c>
    </row>
    <row r="12" spans="1:2" x14ac:dyDescent="0.2">
      <c r="A12" s="151" t="s">
        <v>107</v>
      </c>
      <c r="B12" s="152"/>
    </row>
    <row r="13" spans="1:2" ht="17" x14ac:dyDescent="0.2">
      <c r="A13" s="2" t="s">
        <v>1</v>
      </c>
      <c r="B13" s="3">
        <v>116</v>
      </c>
    </row>
    <row r="14" spans="1:2" ht="17" x14ac:dyDescent="0.2">
      <c r="A14" s="2" t="s">
        <v>2</v>
      </c>
      <c r="B14" s="3">
        <v>47</v>
      </c>
    </row>
    <row r="15" spans="1:2" ht="17" x14ac:dyDescent="0.2">
      <c r="A15" s="2" t="s">
        <v>3</v>
      </c>
      <c r="B15" s="3" t="s">
        <v>5</v>
      </c>
    </row>
    <row r="16" spans="1:2" ht="16" customHeight="1" x14ac:dyDescent="0.2">
      <c r="A16" s="151" t="s">
        <v>108</v>
      </c>
      <c r="B16" s="152"/>
    </row>
    <row r="17" spans="1:2" ht="17" x14ac:dyDescent="0.2">
      <c r="A17" s="2" t="s">
        <v>1</v>
      </c>
      <c r="B17" s="3">
        <v>99</v>
      </c>
    </row>
    <row r="18" spans="1:2" ht="17" x14ac:dyDescent="0.2">
      <c r="A18" s="2" t="s">
        <v>2</v>
      </c>
      <c r="B18" s="3">
        <v>36</v>
      </c>
    </row>
    <row r="19" spans="1:2" ht="18" thickBot="1" x14ac:dyDescent="0.25">
      <c r="A19" s="4" t="s">
        <v>3</v>
      </c>
      <c r="B19" s="5" t="s">
        <v>5</v>
      </c>
    </row>
  </sheetData>
  <mergeCells count="4">
    <mergeCell ref="A5:B5"/>
    <mergeCell ref="A8:B8"/>
    <mergeCell ref="A12:B12"/>
    <mergeCell ref="A16:B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CE09-B1AF-334F-9FD0-EED162C19D2D}">
  <dimension ref="A1:S23"/>
  <sheetViews>
    <sheetView topLeftCell="A10" zoomScale="70" zoomScaleNormal="70" workbookViewId="0">
      <selection activeCell="A5" sqref="A5:S18"/>
    </sheetView>
  </sheetViews>
  <sheetFormatPr baseColWidth="10" defaultColWidth="10.83203125" defaultRowHeight="16" x14ac:dyDescent="0.2"/>
  <cols>
    <col min="1" max="1" width="10.6640625" style="72" customWidth="1"/>
    <col min="2" max="2" width="11" style="72" customWidth="1"/>
    <col min="3" max="3" width="7.33203125" style="72" customWidth="1"/>
    <col min="4" max="4" width="9" style="72" customWidth="1"/>
    <col min="5" max="5" width="10.1640625" style="72" customWidth="1"/>
    <col min="6" max="6" width="8.5" style="72" customWidth="1"/>
    <col min="7" max="7" width="15.1640625" style="72" customWidth="1"/>
    <col min="8" max="8" width="10" style="72" customWidth="1"/>
    <col min="9" max="9" width="10.6640625" style="72" customWidth="1"/>
    <col min="10" max="10" width="9.33203125" style="72" customWidth="1"/>
    <col min="11" max="11" width="11.1640625" style="72" customWidth="1"/>
    <col min="12" max="12" width="10.33203125" style="72" customWidth="1"/>
    <col min="13" max="13" width="15" style="72" customWidth="1"/>
    <col min="14" max="14" width="9.83203125" style="72" customWidth="1"/>
    <col min="15" max="15" width="9.1640625" style="72" customWidth="1"/>
    <col min="16" max="16" width="13.33203125" style="72" customWidth="1"/>
    <col min="17" max="17" width="10.83203125" style="72"/>
    <col min="18" max="18" width="17.1640625" style="72" customWidth="1"/>
    <col min="19" max="19" width="97.1640625" style="73" customWidth="1"/>
    <col min="20" max="16384" width="10.83203125" style="72"/>
  </cols>
  <sheetData>
    <row r="1" spans="1:19" x14ac:dyDescent="0.2">
      <c r="A1" s="70" t="s">
        <v>196</v>
      </c>
      <c r="B1" s="71"/>
      <c r="C1" s="71"/>
      <c r="D1" s="71"/>
      <c r="E1" s="71"/>
      <c r="F1" s="71"/>
      <c r="G1" s="71"/>
      <c r="H1" s="71"/>
      <c r="I1" s="71"/>
      <c r="J1" s="71"/>
      <c r="K1" s="71"/>
      <c r="L1" s="71"/>
    </row>
    <row r="2" spans="1:19" ht="67" customHeight="1" x14ac:dyDescent="0.2">
      <c r="A2" s="177" t="s">
        <v>271</v>
      </c>
      <c r="B2" s="177"/>
      <c r="C2" s="177"/>
      <c r="D2" s="177"/>
      <c r="E2" s="177"/>
      <c r="F2" s="177"/>
      <c r="G2" s="177"/>
      <c r="H2" s="177"/>
      <c r="I2" s="177"/>
      <c r="J2" s="177"/>
      <c r="K2" s="177"/>
      <c r="L2" s="177"/>
      <c r="M2" s="177"/>
      <c r="N2" s="177"/>
      <c r="O2" s="177"/>
      <c r="P2" s="177"/>
      <c r="Q2" s="177"/>
      <c r="R2" s="177"/>
      <c r="S2" s="177"/>
    </row>
    <row r="3" spans="1:19" x14ac:dyDescent="0.2">
      <c r="B3" s="71"/>
      <c r="C3" s="71"/>
      <c r="D3" s="71"/>
      <c r="E3" s="71"/>
      <c r="F3" s="71"/>
      <c r="G3" s="71"/>
      <c r="H3" s="71"/>
      <c r="I3" s="71"/>
      <c r="J3" s="71"/>
      <c r="K3" s="71"/>
      <c r="L3" s="71"/>
    </row>
    <row r="5" spans="1:19" x14ac:dyDescent="0.2">
      <c r="A5" s="176" t="s">
        <v>111</v>
      </c>
      <c r="B5" s="176" t="s">
        <v>112</v>
      </c>
      <c r="C5" s="176" t="s">
        <v>113</v>
      </c>
      <c r="D5" s="176"/>
      <c r="E5" s="176"/>
      <c r="F5" s="176" t="s">
        <v>114</v>
      </c>
      <c r="G5" s="176" t="s">
        <v>115</v>
      </c>
      <c r="H5" s="176" t="s">
        <v>116</v>
      </c>
      <c r="I5" s="176" t="s">
        <v>216</v>
      </c>
      <c r="J5" s="176" t="s">
        <v>179</v>
      </c>
      <c r="K5" s="176" t="s">
        <v>118</v>
      </c>
      <c r="L5" s="176" t="s">
        <v>180</v>
      </c>
      <c r="M5" s="176" t="s">
        <v>181</v>
      </c>
      <c r="N5" s="176" t="s">
        <v>119</v>
      </c>
      <c r="O5" s="176" t="s">
        <v>120</v>
      </c>
      <c r="P5" s="176" t="s">
        <v>121</v>
      </c>
      <c r="Q5" s="176" t="s">
        <v>122</v>
      </c>
      <c r="R5" s="176" t="s">
        <v>123</v>
      </c>
      <c r="S5" s="176" t="s">
        <v>197</v>
      </c>
    </row>
    <row r="6" spans="1:19" ht="51" x14ac:dyDescent="0.2">
      <c r="A6" s="176"/>
      <c r="B6" s="176"/>
      <c r="C6" s="76" t="s">
        <v>124</v>
      </c>
      <c r="D6" s="77" t="s">
        <v>125</v>
      </c>
      <c r="E6" s="77" t="s">
        <v>126</v>
      </c>
      <c r="F6" s="176"/>
      <c r="G6" s="176"/>
      <c r="H6" s="176"/>
      <c r="I6" s="176"/>
      <c r="J6" s="176"/>
      <c r="K6" s="176"/>
      <c r="L6" s="176"/>
      <c r="M6" s="176"/>
      <c r="N6" s="176"/>
      <c r="O6" s="176"/>
      <c r="P6" s="176"/>
      <c r="Q6" s="176"/>
      <c r="R6" s="176"/>
      <c r="S6" s="176"/>
    </row>
    <row r="7" spans="1:19" ht="51" x14ac:dyDescent="0.2">
      <c r="A7" s="77" t="s">
        <v>127</v>
      </c>
      <c r="B7" s="67" t="s">
        <v>128</v>
      </c>
      <c r="C7" s="67">
        <v>1</v>
      </c>
      <c r="D7" s="67">
        <v>1</v>
      </c>
      <c r="E7" s="67">
        <v>0</v>
      </c>
      <c r="F7" s="67" t="s">
        <v>129</v>
      </c>
      <c r="G7" s="67" t="s">
        <v>130</v>
      </c>
      <c r="H7" s="67" t="s">
        <v>131</v>
      </c>
      <c r="I7" s="41">
        <v>90.255809999999997</v>
      </c>
      <c r="J7" s="67">
        <v>2</v>
      </c>
      <c r="K7" s="67">
        <v>93</v>
      </c>
      <c r="L7" s="42">
        <v>1</v>
      </c>
      <c r="M7" s="67" t="s">
        <v>132</v>
      </c>
      <c r="N7" s="43">
        <v>39</v>
      </c>
      <c r="O7" s="102" t="s">
        <v>217</v>
      </c>
      <c r="P7" s="67" t="s">
        <v>133</v>
      </c>
      <c r="Q7" s="43" t="s">
        <v>134</v>
      </c>
      <c r="R7" s="67" t="s">
        <v>135</v>
      </c>
      <c r="S7" s="67" t="s">
        <v>198</v>
      </c>
    </row>
    <row r="8" spans="1:19" ht="51" x14ac:dyDescent="0.2">
      <c r="A8" s="77" t="s">
        <v>136</v>
      </c>
      <c r="B8" s="67" t="s">
        <v>137</v>
      </c>
      <c r="C8" s="67">
        <v>3</v>
      </c>
      <c r="D8" s="67">
        <v>3</v>
      </c>
      <c r="E8" s="67">
        <v>0</v>
      </c>
      <c r="F8" s="67" t="s">
        <v>138</v>
      </c>
      <c r="G8" s="67" t="s">
        <v>130</v>
      </c>
      <c r="H8" s="67" t="s">
        <v>139</v>
      </c>
      <c r="I8" s="41">
        <v>56.429729999999999</v>
      </c>
      <c r="J8" s="67">
        <v>2</v>
      </c>
      <c r="K8" s="67">
        <v>72</v>
      </c>
      <c r="L8" s="42">
        <v>1</v>
      </c>
      <c r="M8" s="67" t="s">
        <v>132</v>
      </c>
      <c r="N8" s="43">
        <v>59</v>
      </c>
      <c r="O8" s="102" t="s">
        <v>218</v>
      </c>
      <c r="P8" s="67" t="s">
        <v>140</v>
      </c>
      <c r="Q8" s="43" t="s">
        <v>134</v>
      </c>
      <c r="R8" s="67" t="s">
        <v>135</v>
      </c>
      <c r="S8" s="67" t="s">
        <v>199</v>
      </c>
    </row>
    <row r="9" spans="1:19" ht="68" x14ac:dyDescent="0.2">
      <c r="A9" s="77" t="s">
        <v>141</v>
      </c>
      <c r="B9" s="67" t="s">
        <v>142</v>
      </c>
      <c r="C9" s="67">
        <v>3</v>
      </c>
      <c r="D9" s="67">
        <v>1</v>
      </c>
      <c r="E9" s="67">
        <v>0</v>
      </c>
      <c r="F9" s="67" t="s">
        <v>143</v>
      </c>
      <c r="G9" s="67" t="s">
        <v>130</v>
      </c>
      <c r="H9" s="67" t="s">
        <v>144</v>
      </c>
      <c r="I9" s="41">
        <v>58.928699999999999</v>
      </c>
      <c r="J9" s="67">
        <v>2</v>
      </c>
      <c r="K9" s="67">
        <v>75</v>
      </c>
      <c r="L9" s="42">
        <v>1</v>
      </c>
      <c r="M9" s="67" t="s">
        <v>132</v>
      </c>
      <c r="N9" s="43">
        <v>63</v>
      </c>
      <c r="O9" s="102" t="s">
        <v>217</v>
      </c>
      <c r="P9" s="67" t="s">
        <v>133</v>
      </c>
      <c r="Q9" s="43" t="s">
        <v>134</v>
      </c>
      <c r="R9" s="67" t="s">
        <v>135</v>
      </c>
      <c r="S9" s="67" t="s">
        <v>200</v>
      </c>
    </row>
    <row r="10" spans="1:19" ht="51" x14ac:dyDescent="0.2">
      <c r="A10" s="77" t="s">
        <v>145</v>
      </c>
      <c r="B10" s="67" t="s">
        <v>209</v>
      </c>
      <c r="C10" s="67">
        <v>2</v>
      </c>
      <c r="D10" s="67">
        <v>1</v>
      </c>
      <c r="E10" s="67">
        <v>1</v>
      </c>
      <c r="F10" s="67" t="s">
        <v>146</v>
      </c>
      <c r="G10" s="67" t="s">
        <v>147</v>
      </c>
      <c r="H10" s="67" t="s">
        <v>148</v>
      </c>
      <c r="I10" s="68">
        <f>0.921363*100</f>
        <v>92.136300000000006</v>
      </c>
      <c r="J10" s="67">
        <v>3</v>
      </c>
      <c r="K10" s="67">
        <v>55</v>
      </c>
      <c r="L10" s="42">
        <v>0.57999999999999996</v>
      </c>
      <c r="M10" s="67" t="s">
        <v>149</v>
      </c>
      <c r="N10" s="69">
        <v>64</v>
      </c>
      <c r="O10" s="102" t="s">
        <v>217</v>
      </c>
      <c r="P10" s="67" t="s">
        <v>133</v>
      </c>
      <c r="Q10" s="43" t="s">
        <v>150</v>
      </c>
      <c r="R10" s="67" t="s">
        <v>151</v>
      </c>
      <c r="S10" s="67" t="s">
        <v>201</v>
      </c>
    </row>
    <row r="11" spans="1:19" ht="68" x14ac:dyDescent="0.2">
      <c r="A11" s="77" t="s">
        <v>152</v>
      </c>
      <c r="B11" s="67" t="s">
        <v>137</v>
      </c>
      <c r="C11" s="67">
        <v>5</v>
      </c>
      <c r="D11" s="67">
        <v>3</v>
      </c>
      <c r="E11" s="67">
        <v>0</v>
      </c>
      <c r="F11" s="67" t="s">
        <v>153</v>
      </c>
      <c r="G11" s="67" t="s">
        <v>154</v>
      </c>
      <c r="H11" s="67" t="s">
        <v>155</v>
      </c>
      <c r="I11" s="41">
        <v>95.559309999999996</v>
      </c>
      <c r="J11" s="67">
        <v>3</v>
      </c>
      <c r="K11" s="67">
        <v>89</v>
      </c>
      <c r="L11" s="42">
        <v>0.92</v>
      </c>
      <c r="M11" s="67" t="s">
        <v>132</v>
      </c>
      <c r="N11" s="43">
        <v>61</v>
      </c>
      <c r="O11" s="102" t="s">
        <v>217</v>
      </c>
      <c r="P11" s="67" t="s">
        <v>133</v>
      </c>
      <c r="Q11" s="43" t="s">
        <v>134</v>
      </c>
      <c r="R11" s="67" t="s">
        <v>135</v>
      </c>
      <c r="S11" s="67" t="s">
        <v>202</v>
      </c>
    </row>
    <row r="12" spans="1:19" ht="52" thickBot="1" x14ac:dyDescent="0.25">
      <c r="A12" s="82" t="s">
        <v>156</v>
      </c>
      <c r="B12" s="83" t="s">
        <v>157</v>
      </c>
      <c r="C12" s="84" t="s">
        <v>182</v>
      </c>
      <c r="D12" s="84" t="s">
        <v>182</v>
      </c>
      <c r="E12" s="83">
        <v>0</v>
      </c>
      <c r="F12" s="83" t="s">
        <v>175</v>
      </c>
      <c r="G12" s="83" t="s">
        <v>158</v>
      </c>
      <c r="H12" s="83" t="s">
        <v>155</v>
      </c>
      <c r="I12" s="85" t="s">
        <v>175</v>
      </c>
      <c r="J12" s="85" t="s">
        <v>175</v>
      </c>
      <c r="K12" s="83">
        <v>72</v>
      </c>
      <c r="L12" s="86" t="s">
        <v>175</v>
      </c>
      <c r="M12" s="83" t="s">
        <v>132</v>
      </c>
      <c r="N12" s="87">
        <v>54</v>
      </c>
      <c r="O12" s="104" t="s">
        <v>217</v>
      </c>
      <c r="P12" s="83" t="s">
        <v>133</v>
      </c>
      <c r="Q12" s="87" t="s">
        <v>134</v>
      </c>
      <c r="R12" s="83" t="s">
        <v>135</v>
      </c>
      <c r="S12" s="83" t="s">
        <v>203</v>
      </c>
    </row>
    <row r="13" spans="1:19" ht="69" thickTop="1" x14ac:dyDescent="0.2">
      <c r="A13" s="78" t="s">
        <v>159</v>
      </c>
      <c r="B13" s="66" t="s">
        <v>209</v>
      </c>
      <c r="C13" s="66">
        <v>6</v>
      </c>
      <c r="D13" s="66">
        <v>4</v>
      </c>
      <c r="E13" s="66">
        <v>6</v>
      </c>
      <c r="F13" s="66" t="s">
        <v>160</v>
      </c>
      <c r="G13" s="66" t="s">
        <v>161</v>
      </c>
      <c r="H13" s="66" t="s">
        <v>162</v>
      </c>
      <c r="I13" s="79">
        <f>0.928683848624962*100</f>
        <v>92.8683848624962</v>
      </c>
      <c r="J13" s="66">
        <v>3</v>
      </c>
      <c r="K13" s="66">
        <v>96</v>
      </c>
      <c r="L13" s="80">
        <v>1</v>
      </c>
      <c r="M13" s="66" t="s">
        <v>163</v>
      </c>
      <c r="N13" s="81">
        <v>46</v>
      </c>
      <c r="O13" s="103" t="s">
        <v>217</v>
      </c>
      <c r="P13" s="66" t="s">
        <v>133</v>
      </c>
      <c r="Q13" s="65" t="s">
        <v>134</v>
      </c>
      <c r="R13" s="66" t="s">
        <v>164</v>
      </c>
      <c r="S13" s="66" t="s">
        <v>204</v>
      </c>
    </row>
    <row r="14" spans="1:19" ht="90" customHeight="1" x14ac:dyDescent="0.2">
      <c r="A14" s="77" t="s">
        <v>165</v>
      </c>
      <c r="B14" s="67" t="s">
        <v>209</v>
      </c>
      <c r="C14" s="67">
        <v>9</v>
      </c>
      <c r="D14" s="67">
        <v>6</v>
      </c>
      <c r="E14" s="67">
        <v>0</v>
      </c>
      <c r="F14" s="67" t="s">
        <v>166</v>
      </c>
      <c r="G14" s="67" t="s">
        <v>130</v>
      </c>
      <c r="H14" s="67" t="s">
        <v>167</v>
      </c>
      <c r="I14" s="68">
        <f>0.783*100</f>
        <v>78.3</v>
      </c>
      <c r="J14" s="67">
        <v>2</v>
      </c>
      <c r="K14" s="67">
        <v>81</v>
      </c>
      <c r="L14" s="42">
        <v>1</v>
      </c>
      <c r="M14" s="67" t="s">
        <v>163</v>
      </c>
      <c r="N14" s="43">
        <v>49</v>
      </c>
      <c r="O14" s="102" t="s">
        <v>217</v>
      </c>
      <c r="P14" s="67" t="s">
        <v>133</v>
      </c>
      <c r="Q14" s="43" t="s">
        <v>134</v>
      </c>
      <c r="R14" s="67" t="s">
        <v>168</v>
      </c>
      <c r="S14" s="67" t="s">
        <v>205</v>
      </c>
    </row>
    <row r="15" spans="1:19" ht="119" x14ac:dyDescent="0.2">
      <c r="A15" s="77" t="s">
        <v>169</v>
      </c>
      <c r="B15" s="67" t="s">
        <v>170</v>
      </c>
      <c r="C15" s="67">
        <v>6</v>
      </c>
      <c r="D15" s="67">
        <v>3</v>
      </c>
      <c r="E15" s="67">
        <v>1</v>
      </c>
      <c r="F15" s="67" t="s">
        <v>171</v>
      </c>
      <c r="G15" s="67" t="s">
        <v>147</v>
      </c>
      <c r="H15" s="67" t="s">
        <v>172</v>
      </c>
      <c r="I15" s="41">
        <v>79.434849999999997</v>
      </c>
      <c r="J15" s="67">
        <v>4</v>
      </c>
      <c r="K15" s="67">
        <v>86</v>
      </c>
      <c r="L15" s="42">
        <v>0.97</v>
      </c>
      <c r="M15" s="67" t="s">
        <v>163</v>
      </c>
      <c r="N15" s="43">
        <v>51</v>
      </c>
      <c r="O15" s="102" t="s">
        <v>217</v>
      </c>
      <c r="P15" s="67" t="s">
        <v>133</v>
      </c>
      <c r="Q15" s="43" t="s">
        <v>150</v>
      </c>
      <c r="R15" s="67" t="s">
        <v>135</v>
      </c>
      <c r="S15" s="67" t="s">
        <v>206</v>
      </c>
    </row>
    <row r="16" spans="1:19" ht="51" x14ac:dyDescent="0.2">
      <c r="A16" s="77" t="s">
        <v>173</v>
      </c>
      <c r="B16" s="67" t="s">
        <v>174</v>
      </c>
      <c r="C16" s="67">
        <v>4</v>
      </c>
      <c r="D16" s="67">
        <v>1</v>
      </c>
      <c r="E16" s="67">
        <v>0</v>
      </c>
      <c r="F16" s="67" t="s">
        <v>175</v>
      </c>
      <c r="G16" s="67" t="s">
        <v>154</v>
      </c>
      <c r="H16" s="67" t="s">
        <v>176</v>
      </c>
      <c r="I16" s="41">
        <v>97.355549999999994</v>
      </c>
      <c r="J16" s="67">
        <v>1</v>
      </c>
      <c r="K16" s="67">
        <v>94</v>
      </c>
      <c r="L16" s="42">
        <v>0.99</v>
      </c>
      <c r="M16" s="67" t="s">
        <v>163</v>
      </c>
      <c r="N16" s="43">
        <v>54</v>
      </c>
      <c r="O16" s="102" t="s">
        <v>217</v>
      </c>
      <c r="P16" s="67" t="s">
        <v>133</v>
      </c>
      <c r="Q16" s="43" t="s">
        <v>134</v>
      </c>
      <c r="R16" s="67" t="s">
        <v>135</v>
      </c>
      <c r="S16" s="67" t="s">
        <v>207</v>
      </c>
    </row>
    <row r="17" spans="1:19" ht="51" x14ac:dyDescent="0.2">
      <c r="A17" s="77" t="s">
        <v>177</v>
      </c>
      <c r="B17" s="67" t="s">
        <v>137</v>
      </c>
      <c r="C17" s="67" t="s">
        <v>175</v>
      </c>
      <c r="D17" s="67" t="s">
        <v>175</v>
      </c>
      <c r="E17" s="67">
        <v>0</v>
      </c>
      <c r="F17" s="67" t="s">
        <v>175</v>
      </c>
      <c r="G17" s="67" t="s">
        <v>175</v>
      </c>
      <c r="H17" s="67" t="s">
        <v>175</v>
      </c>
      <c r="I17" s="41">
        <v>75.905270000000002</v>
      </c>
      <c r="J17" s="67">
        <v>3</v>
      </c>
      <c r="K17" s="67">
        <v>88</v>
      </c>
      <c r="L17" s="42">
        <v>1</v>
      </c>
      <c r="M17" s="67" t="s">
        <v>163</v>
      </c>
      <c r="N17" s="43">
        <v>67</v>
      </c>
      <c r="O17" s="102" t="s">
        <v>219</v>
      </c>
      <c r="P17" s="67" t="s">
        <v>178</v>
      </c>
      <c r="Q17" s="43" t="s">
        <v>134</v>
      </c>
      <c r="R17" s="67" t="s">
        <v>135</v>
      </c>
      <c r="S17" s="67" t="s">
        <v>208</v>
      </c>
    </row>
    <row r="18" spans="1:19" s="132" customFormat="1" ht="51" x14ac:dyDescent="0.2">
      <c r="A18" s="131" t="s">
        <v>254</v>
      </c>
      <c r="B18" s="67" t="s">
        <v>142</v>
      </c>
      <c r="C18" s="67">
        <v>0</v>
      </c>
      <c r="D18" s="67">
        <v>0</v>
      </c>
      <c r="E18" s="67">
        <v>0</v>
      </c>
      <c r="F18" s="67" t="s">
        <v>175</v>
      </c>
      <c r="G18" s="67" t="s">
        <v>175</v>
      </c>
      <c r="H18" s="67" t="s">
        <v>255</v>
      </c>
      <c r="I18" s="41" t="s">
        <v>175</v>
      </c>
      <c r="J18" s="67" t="s">
        <v>175</v>
      </c>
      <c r="K18" s="67" t="s">
        <v>175</v>
      </c>
      <c r="L18" s="42" t="s">
        <v>175</v>
      </c>
      <c r="M18" s="67" t="s">
        <v>256</v>
      </c>
      <c r="N18" s="43">
        <v>45</v>
      </c>
      <c r="O18" s="102" t="s">
        <v>217</v>
      </c>
      <c r="P18" s="67" t="s">
        <v>133</v>
      </c>
      <c r="Q18" s="43" t="s">
        <v>134</v>
      </c>
      <c r="R18" s="67" t="s">
        <v>135</v>
      </c>
      <c r="S18" s="67" t="s">
        <v>257</v>
      </c>
    </row>
    <row r="20" spans="1:19" x14ac:dyDescent="0.2">
      <c r="F20" s="75"/>
    </row>
    <row r="21" spans="1:19" x14ac:dyDescent="0.2">
      <c r="F21" s="75"/>
    </row>
    <row r="23" spans="1:19" x14ac:dyDescent="0.2">
      <c r="D23" s="74"/>
    </row>
  </sheetData>
  <mergeCells count="18">
    <mergeCell ref="A2:S2"/>
    <mergeCell ref="Q5:Q6"/>
    <mergeCell ref="R5:R6"/>
    <mergeCell ref="S5:S6"/>
    <mergeCell ref="N5:N6"/>
    <mergeCell ref="O5:O6"/>
    <mergeCell ref="P5:P6"/>
    <mergeCell ref="I5:I6"/>
    <mergeCell ref="J5:J6"/>
    <mergeCell ref="K5:K6"/>
    <mergeCell ref="L5:L6"/>
    <mergeCell ref="M5:M6"/>
    <mergeCell ref="A5:A6"/>
    <mergeCell ref="B5:B6"/>
    <mergeCell ref="C5:E5"/>
    <mergeCell ref="F5:F6"/>
    <mergeCell ref="G5:G6"/>
    <mergeCell ref="H5:H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E4F1C-A949-B748-8FCD-03CBF7F8C233}">
  <dimension ref="A1:S7"/>
  <sheetViews>
    <sheetView workbookViewId="0">
      <selection activeCell="F19" sqref="F19"/>
    </sheetView>
  </sheetViews>
  <sheetFormatPr baseColWidth="10" defaultRowHeight="16" x14ac:dyDescent="0.2"/>
  <cols>
    <col min="1" max="1" width="17" customWidth="1"/>
    <col min="2" max="5" width="15" customWidth="1"/>
    <col min="6" max="6" width="22.5" customWidth="1"/>
  </cols>
  <sheetData>
    <row r="1" spans="1:19" x14ac:dyDescent="0.2">
      <c r="A1" s="70" t="s">
        <v>220</v>
      </c>
      <c r="B1" s="71"/>
      <c r="C1" s="71"/>
      <c r="D1" s="71"/>
      <c r="E1" s="71"/>
      <c r="F1" s="71"/>
      <c r="G1" s="71"/>
      <c r="H1" s="71"/>
      <c r="I1" s="71"/>
      <c r="J1" s="71"/>
      <c r="K1" s="71"/>
      <c r="L1" s="71"/>
      <c r="M1" s="88"/>
      <c r="N1" s="88"/>
      <c r="O1" s="88"/>
      <c r="P1" s="88"/>
      <c r="Q1" s="88"/>
      <c r="R1" s="88"/>
      <c r="S1" s="73"/>
    </row>
    <row r="2" spans="1:19" x14ac:dyDescent="0.2">
      <c r="A2" s="178" t="s">
        <v>273</v>
      </c>
      <c r="B2" s="178"/>
      <c r="C2" s="178"/>
      <c r="D2" s="178"/>
      <c r="E2" s="178"/>
      <c r="F2" s="178"/>
      <c r="G2" s="178"/>
      <c r="H2" s="178"/>
      <c r="I2" s="178"/>
      <c r="J2" s="178"/>
      <c r="K2" s="178"/>
      <c r="L2" s="178"/>
      <c r="M2" s="178"/>
      <c r="N2" s="178"/>
      <c r="O2" s="178"/>
      <c r="P2" s="178"/>
      <c r="Q2" s="178"/>
      <c r="R2" s="178"/>
      <c r="S2" s="178"/>
    </row>
    <row r="3" spans="1:19" ht="17" thickBot="1" x14ac:dyDescent="0.25">
      <c r="A3" s="148"/>
      <c r="B3" s="148"/>
      <c r="C3" s="148"/>
      <c r="D3" s="148"/>
      <c r="E3" s="148"/>
      <c r="F3" s="148"/>
      <c r="G3" s="148"/>
      <c r="H3" s="148"/>
      <c r="I3" s="148"/>
      <c r="J3" s="148"/>
      <c r="K3" s="148"/>
      <c r="L3" s="148"/>
      <c r="M3" s="148"/>
      <c r="N3" s="148"/>
      <c r="O3" s="148"/>
      <c r="P3" s="148"/>
      <c r="Q3" s="148"/>
      <c r="R3" s="148"/>
      <c r="S3" s="148"/>
    </row>
    <row r="4" spans="1:19" x14ac:dyDescent="0.2">
      <c r="A4" s="179" t="s">
        <v>210</v>
      </c>
      <c r="B4" s="181" t="s">
        <v>117</v>
      </c>
      <c r="C4" s="181" t="s">
        <v>179</v>
      </c>
      <c r="D4" s="181" t="s">
        <v>118</v>
      </c>
      <c r="E4" s="181" t="s">
        <v>180</v>
      </c>
      <c r="F4" s="183" t="s">
        <v>181</v>
      </c>
    </row>
    <row r="5" spans="1:19" ht="25" customHeight="1" thickBot="1" x14ac:dyDescent="0.25">
      <c r="A5" s="180"/>
      <c r="B5" s="182"/>
      <c r="C5" s="182"/>
      <c r="D5" s="182"/>
      <c r="E5" s="182"/>
      <c r="F5" s="184"/>
    </row>
    <row r="6" spans="1:19" ht="24" customHeight="1" x14ac:dyDescent="0.2">
      <c r="A6" s="90" t="s">
        <v>211</v>
      </c>
      <c r="B6" s="91">
        <v>79.434849999999997</v>
      </c>
      <c r="C6" s="92">
        <v>4</v>
      </c>
      <c r="D6" s="92">
        <v>86</v>
      </c>
      <c r="E6" s="93">
        <v>0.97</v>
      </c>
      <c r="F6" s="94" t="s">
        <v>163</v>
      </c>
    </row>
    <row r="7" spans="1:19" ht="24" customHeight="1" thickBot="1" x14ac:dyDescent="0.25">
      <c r="A7" s="95" t="s">
        <v>212</v>
      </c>
      <c r="B7" s="96">
        <v>89</v>
      </c>
      <c r="C7" s="97">
        <v>4</v>
      </c>
      <c r="D7" s="97">
        <v>80</v>
      </c>
      <c r="E7" s="89">
        <v>0.85</v>
      </c>
      <c r="F7" s="98" t="s">
        <v>163</v>
      </c>
    </row>
  </sheetData>
  <mergeCells count="7">
    <mergeCell ref="A2:S2"/>
    <mergeCell ref="A4:A5"/>
    <mergeCell ref="B4:B5"/>
    <mergeCell ref="C4:C5"/>
    <mergeCell ref="D4:D5"/>
    <mergeCell ref="E4:E5"/>
    <mergeCell ref="F4:F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04083842566C42B4BBCCD61CEFB2C2" ma:contentTypeVersion="12" ma:contentTypeDescription="Create a new document." ma:contentTypeScope="" ma:versionID="e316572f59957de1d702ca881e4cd42e">
  <xsd:schema xmlns:xsd="http://www.w3.org/2001/XMLSchema" xmlns:xs="http://www.w3.org/2001/XMLSchema" xmlns:p="http://schemas.microsoft.com/office/2006/metadata/properties" xmlns:ns2="9654b718-9013-43b5-ad3b-2762be0a490a" xmlns:ns3="996cac66-200f-4d07-8b3d-1b06faf1905c" targetNamespace="http://schemas.microsoft.com/office/2006/metadata/properties" ma:root="true" ma:fieldsID="b2fa65a837e1ffefeba6fce4fe0488e9" ns2:_="" ns3:_="">
    <xsd:import namespace="9654b718-9013-43b5-ad3b-2762be0a490a"/>
    <xsd:import namespace="996cac66-200f-4d07-8b3d-1b06faf1905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54b718-9013-43b5-ad3b-2762be0a49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96cac66-200f-4d07-8b3d-1b06faf1905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2A7FD7-A162-4F9E-AF40-CC8CC6270D1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BC64389-82F6-418B-851F-B322C0F2A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54b718-9013-43b5-ad3b-2762be0a490a"/>
    <ds:schemaRef ds:uri="996cac66-200f-4d07-8b3d-1b06faf190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3311B3-8D06-45B8-973C-8C1355CD28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Supp. Table 1</vt:lpstr>
      <vt:lpstr>Supp. Table 2</vt:lpstr>
      <vt:lpstr>Supp. Table 3</vt:lpstr>
      <vt:lpstr>Supp. Table 4</vt:lpstr>
      <vt:lpstr>Supp. Table 5</vt:lpstr>
      <vt:lpstr>Supp. Table 6</vt:lpstr>
      <vt:lpstr>Supp. Table 7</vt:lpstr>
      <vt:lpstr>Supp. Table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dc:creator>
  <cp:lastModifiedBy>Kas</cp:lastModifiedBy>
  <dcterms:created xsi:type="dcterms:W3CDTF">2020-04-15T00:31:53Z</dcterms:created>
  <dcterms:modified xsi:type="dcterms:W3CDTF">2021-07-04T23:06:34Z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0x010100E204083842566C42B4BBCCD61CEFB2C2</vt:lpwstr>
  </property>
</Properties>
</file>