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fedirk\Desktop\WORK FILES Mar2020\PAPERS\Kelly_Thesis\MANUSCRIPT\"/>
    </mc:Choice>
  </mc:AlternateContent>
  <xr:revisionPtr revIDLastSave="0" documentId="13_ncr:1_{A0199E00-5A0B-42F1-91B1-A4CB14660428}" xr6:coauthVersionLast="36" xr6:coauthVersionMax="36" xr10:uidLastSave="{00000000-0000-0000-0000-000000000000}"/>
  <bookViews>
    <workbookView xWindow="0" yWindow="0" windowWidth="17220" windowHeight="6650" xr2:uid="{00000000-000D-0000-FFFF-FFFF00000000}"/>
  </bookViews>
  <sheets>
    <sheet name="Supplementary Table 1" sheetId="14" r:id="rId1"/>
    <sheet name="Supplementary Table 2" sheetId="10" r:id="rId2"/>
    <sheet name="Supplementary Table 3" sheetId="5" r:id="rId3"/>
    <sheet name="Supplementary Table 4" sheetId="15" r:id="rId4"/>
    <sheet name="Supplementary Table 5" sheetId="1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5" i="15" l="1"/>
  <c r="O185" i="15"/>
  <c r="P183" i="15"/>
  <c r="O183" i="15"/>
  <c r="P181" i="15"/>
  <c r="O181" i="15"/>
  <c r="P178" i="15"/>
  <c r="O178" i="15"/>
  <c r="P176" i="15"/>
  <c r="O176" i="15"/>
  <c r="P174" i="15"/>
  <c r="O174" i="15"/>
  <c r="P170" i="15"/>
  <c r="O170" i="15"/>
  <c r="P168" i="15"/>
  <c r="O168" i="15"/>
  <c r="P166" i="15"/>
  <c r="O166" i="15"/>
  <c r="P163" i="15"/>
  <c r="O163" i="15"/>
  <c r="P161" i="15"/>
  <c r="O161" i="15"/>
  <c r="P159" i="15"/>
  <c r="O159" i="15"/>
  <c r="P155" i="15"/>
  <c r="O155" i="15"/>
  <c r="P153" i="15"/>
  <c r="O153" i="15"/>
  <c r="P151" i="15"/>
  <c r="O151" i="15"/>
  <c r="P148" i="15"/>
  <c r="O148" i="15"/>
  <c r="P146" i="15"/>
  <c r="O146" i="15"/>
  <c r="P144" i="15"/>
  <c r="O144" i="15"/>
  <c r="P140" i="15"/>
  <c r="O140" i="15"/>
  <c r="P138" i="15"/>
  <c r="O138" i="15"/>
  <c r="P136" i="15"/>
  <c r="O136" i="15"/>
  <c r="P133" i="15"/>
  <c r="O133" i="15"/>
  <c r="P131" i="15"/>
  <c r="O131" i="15"/>
  <c r="P129" i="15"/>
  <c r="O129" i="15"/>
  <c r="P124" i="15"/>
  <c r="O124" i="15"/>
  <c r="P122" i="15"/>
  <c r="O122" i="15"/>
  <c r="P120" i="15"/>
  <c r="O120" i="15"/>
  <c r="P117" i="15"/>
  <c r="O117" i="15"/>
  <c r="P115" i="15"/>
  <c r="O115" i="15"/>
  <c r="P113" i="15"/>
  <c r="O113" i="15"/>
  <c r="P109" i="15"/>
  <c r="O109" i="15"/>
  <c r="P107" i="15"/>
  <c r="O107" i="15"/>
  <c r="P105" i="15"/>
  <c r="O105" i="15"/>
  <c r="P102" i="15"/>
  <c r="O102" i="15"/>
  <c r="P100" i="15"/>
  <c r="O100" i="15"/>
  <c r="P98" i="15"/>
  <c r="O98" i="15"/>
  <c r="P94" i="15"/>
  <c r="O94" i="15"/>
  <c r="P92" i="15"/>
  <c r="O92" i="15"/>
  <c r="P90" i="15"/>
  <c r="O90" i="15"/>
  <c r="P87" i="15"/>
  <c r="O87" i="15"/>
  <c r="P85" i="15"/>
  <c r="O85" i="15"/>
  <c r="P83" i="15"/>
  <c r="O83" i="15"/>
  <c r="P79" i="15"/>
  <c r="O79" i="15"/>
  <c r="P77" i="15"/>
  <c r="O77" i="15"/>
  <c r="P75" i="15"/>
  <c r="O75" i="15"/>
  <c r="P72" i="15"/>
  <c r="O72" i="15"/>
  <c r="P70" i="15"/>
  <c r="O70" i="15"/>
  <c r="P68" i="15"/>
  <c r="O68" i="15"/>
  <c r="P63" i="15"/>
  <c r="O63" i="15"/>
  <c r="P61" i="15"/>
  <c r="O61" i="15"/>
  <c r="P59" i="15"/>
  <c r="O59" i="15"/>
  <c r="P56" i="15"/>
  <c r="O56" i="15"/>
  <c r="P54" i="15"/>
  <c r="O54" i="15"/>
  <c r="P52" i="15"/>
  <c r="O52" i="15"/>
  <c r="P48" i="15"/>
  <c r="O48" i="15"/>
  <c r="P46" i="15"/>
  <c r="O46" i="15"/>
  <c r="P44" i="15"/>
  <c r="O44" i="15"/>
  <c r="P41" i="15"/>
  <c r="O41" i="15"/>
  <c r="P39" i="15"/>
  <c r="O39" i="15"/>
  <c r="P37" i="15"/>
  <c r="O37" i="15"/>
  <c r="P33" i="15"/>
  <c r="O33" i="15"/>
  <c r="P31" i="15"/>
  <c r="O31" i="15"/>
  <c r="P29" i="15"/>
  <c r="O29" i="15"/>
  <c r="P26" i="15"/>
  <c r="O26" i="15"/>
  <c r="P24" i="15"/>
  <c r="O24" i="15"/>
  <c r="P22" i="15"/>
  <c r="O22" i="15"/>
  <c r="P18" i="15"/>
  <c r="O18" i="15"/>
  <c r="P16" i="15"/>
  <c r="O16" i="15"/>
  <c r="P14" i="15"/>
  <c r="O14" i="15"/>
  <c r="P11" i="15"/>
  <c r="O11" i="15"/>
  <c r="P9" i="15"/>
  <c r="O9" i="15"/>
  <c r="P7" i="15"/>
  <c r="O7" i="15"/>
  <c r="U85" i="5" l="1"/>
  <c r="T85" i="5"/>
  <c r="U82" i="5"/>
  <c r="T82" i="5"/>
  <c r="U81" i="5"/>
  <c r="T81" i="5"/>
  <c r="U80" i="5"/>
  <c r="T80" i="5"/>
  <c r="U76" i="5"/>
  <c r="T76" i="5"/>
  <c r="U73" i="5"/>
  <c r="T73" i="5"/>
  <c r="U72" i="5"/>
  <c r="T72" i="5"/>
  <c r="U71" i="5"/>
  <c r="T71" i="5"/>
  <c r="U67" i="5"/>
  <c r="T67" i="5"/>
  <c r="U64" i="5"/>
  <c r="T64" i="5"/>
  <c r="U63" i="5"/>
  <c r="T63" i="5"/>
  <c r="U62" i="5"/>
  <c r="T62" i="5"/>
  <c r="U58" i="5"/>
  <c r="T58" i="5"/>
  <c r="U55" i="5"/>
  <c r="T55" i="5"/>
  <c r="U54" i="5"/>
  <c r="T54" i="5"/>
  <c r="U53" i="5"/>
  <c r="T53" i="5"/>
  <c r="U12" i="5"/>
  <c r="T12" i="5"/>
  <c r="U9" i="5"/>
  <c r="T9" i="5"/>
  <c r="U8" i="5"/>
  <c r="T8" i="5"/>
  <c r="U7" i="5"/>
  <c r="T7" i="5"/>
  <c r="T75" i="10" l="1"/>
  <c r="S75" i="10"/>
  <c r="T72" i="10"/>
  <c r="S72" i="10"/>
  <c r="T69" i="10"/>
  <c r="S69" i="10"/>
  <c r="T66" i="10"/>
  <c r="S66" i="10"/>
  <c r="T63" i="10"/>
  <c r="S63" i="10"/>
  <c r="T60" i="10"/>
  <c r="S60" i="10"/>
  <c r="T57" i="10"/>
  <c r="S57" i="10"/>
  <c r="T54" i="10"/>
  <c r="S54" i="10"/>
  <c r="T51" i="10"/>
  <c r="S51" i="10"/>
  <c r="Q12" i="14" l="1"/>
  <c r="P12" i="14"/>
  <c r="Q9" i="14"/>
  <c r="P9" i="14"/>
  <c r="Q6" i="14"/>
  <c r="P6" i="14"/>
  <c r="T48" i="10" l="1"/>
  <c r="S48" i="10"/>
  <c r="T45" i="10"/>
  <c r="S45" i="10"/>
  <c r="T42" i="10"/>
  <c r="S42" i="10"/>
  <c r="T39" i="10"/>
  <c r="S39" i="10"/>
  <c r="T36" i="10"/>
  <c r="S36" i="10"/>
  <c r="T33" i="10"/>
  <c r="S33" i="10"/>
  <c r="T30" i="10"/>
  <c r="S30" i="10"/>
  <c r="T27" i="10"/>
  <c r="S27" i="10"/>
  <c r="T24" i="10"/>
  <c r="S24" i="10"/>
  <c r="T21" i="10"/>
  <c r="S21" i="10"/>
  <c r="T18" i="10"/>
  <c r="S18" i="10"/>
  <c r="T15" i="10"/>
  <c r="S15" i="10"/>
  <c r="T12" i="10"/>
  <c r="S12" i="10"/>
  <c r="T9" i="10"/>
  <c r="S9" i="10"/>
  <c r="T6" i="10"/>
  <c r="S6" i="10"/>
  <c r="U39" i="5" l="1"/>
  <c r="U48" i="5"/>
  <c r="T48" i="5"/>
  <c r="U45" i="5"/>
  <c r="U44" i="5"/>
  <c r="U43" i="5"/>
  <c r="T45" i="5"/>
  <c r="T44" i="5"/>
  <c r="T43" i="5"/>
  <c r="T39" i="5"/>
  <c r="U36" i="5"/>
  <c r="U35" i="5"/>
  <c r="U34" i="5"/>
  <c r="T36" i="5"/>
  <c r="T35" i="5"/>
  <c r="T34" i="5"/>
  <c r="U30" i="5"/>
  <c r="T30" i="5"/>
  <c r="U27" i="5"/>
  <c r="U26" i="5"/>
  <c r="U25" i="5"/>
  <c r="T27" i="5"/>
  <c r="T26" i="5"/>
  <c r="T25" i="5"/>
  <c r="U21" i="5"/>
  <c r="T21" i="5"/>
  <c r="U18" i="5"/>
  <c r="U17" i="5"/>
  <c r="T18" i="5"/>
  <c r="T17" i="5"/>
  <c r="U16" i="5"/>
  <c r="T16" i="5"/>
  <c r="T84" i="10"/>
  <c r="T81" i="10"/>
  <c r="T78" i="10"/>
  <c r="S84" i="10"/>
  <c r="S81" i="10"/>
  <c r="S78" i="10"/>
</calcChain>
</file>

<file path=xl/sharedStrings.xml><?xml version="1.0" encoding="utf-8"?>
<sst xmlns="http://schemas.openxmlformats.org/spreadsheetml/2006/main" count="2147" uniqueCount="1526">
  <si>
    <t>N</t>
  </si>
  <si>
    <t>n</t>
  </si>
  <si>
    <t>P</t>
  </si>
  <si>
    <t>LPS</t>
  </si>
  <si>
    <t>Vitamin D</t>
  </si>
  <si>
    <t>Calcium</t>
  </si>
  <si>
    <t>Sex</t>
  </si>
  <si>
    <t>Smoker</t>
  </si>
  <si>
    <t>Center</t>
  </si>
  <si>
    <t>Smoking status</t>
  </si>
  <si>
    <t>Never</t>
  </si>
  <si>
    <t>Former</t>
  </si>
  <si>
    <t>Non drinker</t>
  </si>
  <si>
    <t>0.1-0.5</t>
  </si>
  <si>
    <t>0.51-1.0</t>
  </si>
  <si>
    <t>1.01-2.0</t>
  </si>
  <si>
    <t>&gt;2.0</t>
  </si>
  <si>
    <t>&gt;1</t>
  </si>
  <si>
    <t>No</t>
  </si>
  <si>
    <t>Yes</t>
  </si>
  <si>
    <t>4-arm Groups:</t>
  </si>
  <si>
    <t>Placebo</t>
  </si>
  <si>
    <t>2-arm Groups:</t>
  </si>
  <si>
    <t>IgG</t>
  </si>
  <si>
    <t>IgA</t>
  </si>
  <si>
    <t>55.1-60</t>
  </si>
  <si>
    <t>60.1-65</t>
  </si>
  <si>
    <t>≤55</t>
  </si>
  <si>
    <t>&gt;65</t>
  </si>
  <si>
    <r>
      <t>BMI, kg/m</t>
    </r>
    <r>
      <rPr>
        <b/>
        <vertAlign val="superscript"/>
        <sz val="12"/>
        <color theme="1"/>
        <rFont val="Times New Roman"/>
        <family val="1"/>
      </rPr>
      <t>2</t>
    </r>
  </si>
  <si>
    <t>≥2</t>
  </si>
  <si>
    <t>FLIC</t>
  </si>
  <si>
    <t>LPS-IgA</t>
  </si>
  <si>
    <t>LPS-IgG</t>
  </si>
  <si>
    <t>Age, yrs</t>
  </si>
  <si>
    <t>Characteristics</t>
  </si>
  <si>
    <t>Mean (95% CI)</t>
  </si>
  <si>
    <t>2.57 (2.34-2.81)</t>
  </si>
  <si>
    <t>2.59 (2.32-2.85)</t>
  </si>
  <si>
    <t>2.42 (2.14-2.71)</t>
  </si>
  <si>
    <t>2.63 (2.33-2.92)</t>
  </si>
  <si>
    <t>3.38 (3.15-3.62)</t>
  </si>
  <si>
    <t>3.34 (3.07-3.60)</t>
  </si>
  <si>
    <t>3.21 (2.93-3.50)</t>
  </si>
  <si>
    <t>3.37 (3.07-3.67)</t>
  </si>
  <si>
    <t>1.63 (1.51-1.74)</t>
  </si>
  <si>
    <t>1.65 (1.52-1.78)</t>
  </si>
  <si>
    <t>1.58 (1.45-1.72)</t>
  </si>
  <si>
    <t>1.60 (1.45-1.74)</t>
  </si>
  <si>
    <t>1.41 (1.24-1.58)</t>
  </si>
  <si>
    <t>1.45 (1.26-1.64)</t>
  </si>
  <si>
    <t>1.40 (1.20-1.61)</t>
  </si>
  <si>
    <t>1.50 (1.28-1.71)</t>
  </si>
  <si>
    <t>1.16 (1.05-1.28)</t>
  </si>
  <si>
    <t>1.13 (1.00-1.26)</t>
  </si>
  <si>
    <t>1.02 (0.88-1.16)</t>
  </si>
  <si>
    <t>1.13 (0.99-1.28)</t>
  </si>
  <si>
    <t>2.79 (2.60-2.98)</t>
  </si>
  <si>
    <t>2.78 (2.57-2.99)</t>
  </si>
  <si>
    <t>2.61 (2.38-2.84)</t>
  </si>
  <si>
    <t>2.73 (2.49-2.97)</t>
  </si>
  <si>
    <t>3.17 (2.84-3.50)</t>
  </si>
  <si>
    <t>3.14 (2.78-3.51)</t>
  </si>
  <si>
    <t>3.03 (2.63-3.42)</t>
  </si>
  <si>
    <t>3.27 (2.85-3.68)</t>
  </si>
  <si>
    <t>2.71 (2.54-2.87)</t>
  </si>
  <si>
    <t>2.40 (2.19-2.62)</t>
  </si>
  <si>
    <t>3.52 (3.35-3.69)</t>
  </si>
  <si>
    <t>3.14 (2.93-3.36)</t>
  </si>
  <si>
    <t>1.77 (1.69-1.85)</t>
  </si>
  <si>
    <t>1.47 (1.36-1.57)</t>
  </si>
  <si>
    <t>1.54 (1.42-1.67)</t>
  </si>
  <si>
    <t>1.33 (1.18-1.48)</t>
  </si>
  <si>
    <t>1.16 (1.08-1.24)</t>
  </si>
  <si>
    <t>1.07 (0.97-1.18)</t>
  </si>
  <si>
    <t>2.94 (2.80-3.08)</t>
  </si>
  <si>
    <t>2.72 (2.53-2.91)</t>
  </si>
  <si>
    <t>3.29 (3.06-3.53)</t>
  </si>
  <si>
    <t>3.01 (2.71-3.30)</t>
  </si>
  <si>
    <t>2.43 (2.26-2.61)</t>
  </si>
  <si>
    <t>2.68 (2.47-2.89)</t>
  </si>
  <si>
    <t>3.22 (3.05-3.40)</t>
  </si>
  <si>
    <t>3.44 (3.23-3.65)</t>
  </si>
  <si>
    <t>1.63 (1.54-1.71)</t>
  </si>
  <si>
    <t>1.61 (1.51-1.71)</t>
  </si>
  <si>
    <t>1.35 (1.22-1.48)</t>
  </si>
  <si>
    <t>1.52 (1.38-1.67)</t>
  </si>
  <si>
    <t>1.08 (1.00-1.17)</t>
  </si>
  <si>
    <t>1.15 (1.05-1.26)</t>
  </si>
  <si>
    <t>2.71 (2.57-2.85)</t>
  </si>
  <si>
    <t>2.76 (2.60-2.93)</t>
  </si>
  <si>
    <t>2.94 (2.70-3.19)</t>
  </si>
  <si>
    <t>3.36 (3.07-3.64)</t>
  </si>
  <si>
    <t>1.81 (1.22-2.40)</t>
  </si>
  <si>
    <t>2.43 (2.09-2.76)</t>
  </si>
  <si>
    <t>2.75 (2.46-3.03)</t>
  </si>
  <si>
    <t>2.62 (2.37-2.86)</t>
  </si>
  <si>
    <t>2.20 (1.93-2.47)</t>
  </si>
  <si>
    <t>3.11 (2.78-3.45)</t>
  </si>
  <si>
    <t>2.79 (2.19-3.39)</t>
  </si>
  <si>
    <t>3.41 (3.07-3.76)</t>
  </si>
  <si>
    <t>3.52 (3.23-3.82)</t>
  </si>
  <si>
    <t>3.27 (3.02-3.53)</t>
  </si>
  <si>
    <t>3.04 (2.76-3.32)</t>
  </si>
  <si>
    <t>3.73 (3.38-4.07)</t>
  </si>
  <si>
    <t>1.52 (1.32-1.72)</t>
  </si>
  <si>
    <t>1.41 (1.11-1.70)</t>
  </si>
  <si>
    <t>1.68 (1.51-1.85)</t>
  </si>
  <si>
    <t>1.72 (1.58-1.86)</t>
  </si>
  <si>
    <t>1.58 (1.46-1.71)</t>
  </si>
  <si>
    <t>1.52 (1.38-1.66)</t>
  </si>
  <si>
    <t>1.70 (1.53-1.87)</t>
  </si>
  <si>
    <t>1.01 (0.58-1.44)</t>
  </si>
  <si>
    <t>1.34 (1.09-1.59)</t>
  </si>
  <si>
    <t>1.54 (1.33-1.75)</t>
  </si>
  <si>
    <t>1.44 (1.26-1.62)</t>
  </si>
  <si>
    <t>1.24 (1.04-1.44)</t>
  </si>
  <si>
    <t>1.85 (1.60-2.10)</t>
  </si>
  <si>
    <t>0.80 (0.50-1.09)</t>
  </si>
  <si>
    <t>1.08 (0.92-1.25)</t>
  </si>
  <si>
    <t>1.21 (1.07-1.35)</t>
  </si>
  <si>
    <t>1.18 (1.05-1.30)</t>
  </si>
  <si>
    <t>0.96 (0.83-1.10)</t>
  </si>
  <si>
    <t>1.26 (1.10-1.43)</t>
  </si>
  <si>
    <t>2.20 (1.72-2.68)</t>
  </si>
  <si>
    <t>2.77 (2.49-3.04)</t>
  </si>
  <si>
    <t>2.93 (2.70-3.16)</t>
  </si>
  <si>
    <t>2.76 (2.56-2.96)</t>
  </si>
  <si>
    <t>2.48 (2.26-2.70)</t>
  </si>
  <si>
    <t>2.96 (2.69-3.24)</t>
  </si>
  <si>
    <t>2.39 (1.56-3.23)</t>
  </si>
  <si>
    <t>3.07 (2.59-3.55)</t>
  </si>
  <si>
    <t>3.34 (2.93-3.75)</t>
  </si>
  <si>
    <t>3.13 (2.77-3.48)</t>
  </si>
  <si>
    <t>2.76 (2.37-3.14)</t>
  </si>
  <si>
    <t>3.87 (3.40-4.35)</t>
  </si>
  <si>
    <t>2.61 (2.43-2.79)</t>
  </si>
  <si>
    <t>2.52 (2.29-2.75)</t>
  </si>
  <si>
    <t>2.28 (1.78-2.78)</t>
  </si>
  <si>
    <t>3.33 (3.15-3.51)</t>
  </si>
  <si>
    <t>3.27 (3.04-3.51)</t>
  </si>
  <si>
    <t>3.60 (3.10-4.11)</t>
  </si>
  <si>
    <t>1.65 (1.57-1.74)</t>
  </si>
  <si>
    <t>1.51 (1.40-1.62)</t>
  </si>
  <si>
    <t>1.87 (1.63-2.11)</t>
  </si>
  <si>
    <t>1.42 (1.29-1.55)</t>
  </si>
  <si>
    <t>1.49 (1.32-1.65)</t>
  </si>
  <si>
    <t>1.34 (0.97-1.70)</t>
  </si>
  <si>
    <t>1.19 (1.10-1.28)</t>
  </si>
  <si>
    <t>1.03 (0.92-1.15)</t>
  </si>
  <si>
    <t>0.94 (0.70-1.19)</t>
  </si>
  <si>
    <t>2.84 (2.70-2.98)</t>
  </si>
  <si>
    <t>2.54 (2.36-2.72)</t>
  </si>
  <si>
    <t>2.82 (2.42-3.21)</t>
  </si>
  <si>
    <t>3.10 (2.85-3.35)</t>
  </si>
  <si>
    <t>3.25 (2.93-3.58)</t>
  </si>
  <si>
    <t>3.07 (2.37-3.77)</t>
  </si>
  <si>
    <t>2.65 (2.42-2.88)</t>
  </si>
  <si>
    <t>2.52 (2.23-2.81)</t>
  </si>
  <si>
    <t>2.45 (2.12-2.78)</t>
  </si>
  <si>
    <t>2.51 (2.15-2.87)</t>
  </si>
  <si>
    <t>2.45 (2.02-2.87)</t>
  </si>
  <si>
    <t>3.32 (3.09-3.55)</t>
  </si>
  <si>
    <t>3.41 (3.11-3.70)</t>
  </si>
  <si>
    <t>3.44 (3.11-3.77)</t>
  </si>
  <si>
    <t>3.32 (2.96-3.68)</t>
  </si>
  <si>
    <t>3.05 (2.63-3.48)</t>
  </si>
  <si>
    <t>1.64 (1.53-1.75)</t>
  </si>
  <si>
    <t>1.68 (1.54-1.82)</t>
  </si>
  <si>
    <t>1.63 (1.47-1.78)</t>
  </si>
  <si>
    <t>1.63 (1.46-1.80)</t>
  </si>
  <si>
    <t>1.36 (1.16-1.56)</t>
  </si>
  <si>
    <t>1.44 (1.27-1.61)</t>
  </si>
  <si>
    <t>1.41 (1.20-1.62)</t>
  </si>
  <si>
    <t>1.49 (1.26-1.73)</t>
  </si>
  <si>
    <t>1.39 (1.13-1.65)</t>
  </si>
  <si>
    <t>1.46 (1.16-1.77)</t>
  </si>
  <si>
    <t>1.21 (1.10-1.32)</t>
  </si>
  <si>
    <t>1.11 (0.97-1.25)</t>
  </si>
  <si>
    <t>0.96 (0.80-1.12)</t>
  </si>
  <si>
    <t>1.12 (0.95-1.29)</t>
  </si>
  <si>
    <t>0.98 (0.78-1.19)</t>
  </si>
  <si>
    <t>2.85 (2.67-3.03)</t>
  </si>
  <si>
    <t>2.79 (2.56-3.02)</t>
  </si>
  <si>
    <t>2.59 (2.33-2.85)</t>
  </si>
  <si>
    <t>2.76 (2.48-3.04)</t>
  </si>
  <si>
    <t>2.34 (2.01-2.68)</t>
  </si>
  <si>
    <t>3.12 (2.80-3.44)</t>
  </si>
  <si>
    <t>3.14 (2.73-3.54)</t>
  </si>
  <si>
    <t>3.30 (2.84-3.76)</t>
  </si>
  <si>
    <t>3.07 (2.58-3.57)</t>
  </si>
  <si>
    <t>3.16 (2.57-3.75)</t>
  </si>
  <si>
    <t>2.27 (1.79-2.75)</t>
  </si>
  <si>
    <t>2.57 (2.32-2.81)</t>
  </si>
  <si>
    <t>2.65 (2.39-2.90)</t>
  </si>
  <si>
    <t>2.54 (2.30-2.77)</t>
  </si>
  <si>
    <t>3.03 (2.55-3.50)</t>
  </si>
  <si>
    <t>3.18 (2.93-3.42)</t>
  </si>
  <si>
    <t>3.63 (3.38-3.88)</t>
  </si>
  <si>
    <t>3.29 (3.06-3.52)</t>
  </si>
  <si>
    <t>1.62 (1.38-1.85)</t>
  </si>
  <si>
    <t>1.55 (1.43-1.66)</t>
  </si>
  <si>
    <t>1.68 (1.56-1.80)</t>
  </si>
  <si>
    <t>1.63 (1.52-1.75)</t>
  </si>
  <si>
    <t>1.31 (0.96-1.65)</t>
  </si>
  <si>
    <t>1.41 (1.23-1.59)</t>
  </si>
  <si>
    <t>1.57 (1.39-1.75)</t>
  </si>
  <si>
    <t>1.38 (1.22-1.55)</t>
  </si>
  <si>
    <t>0.96 (0.73-1.20)</t>
  </si>
  <si>
    <t>1.16 (1.04-1.28)</t>
  </si>
  <si>
    <t>1.08 (0.95-1.20)</t>
  </si>
  <si>
    <t>1.15 (1.04-1.27)</t>
  </si>
  <si>
    <t>2.58 (2.19-2.97)</t>
  </si>
  <si>
    <t>2.70 (2.50-2.90)</t>
  </si>
  <si>
    <t>2.76 (2.55-2.96)</t>
  </si>
  <si>
    <t>2.79 (2.60-2.97)</t>
  </si>
  <si>
    <t>2.71 (2.05-3.37)</t>
  </si>
  <si>
    <t>3.04 (2.70-3.38)</t>
  </si>
  <si>
    <t>3.52 (3.17-3.86)</t>
  </si>
  <si>
    <t>3.04 (2.72-3.36)</t>
  </si>
  <si>
    <t>2.54 (2.30-2.79)</t>
  </si>
  <si>
    <t>2.56 (2.40-2.72)</t>
  </si>
  <si>
    <t>3.33 (3.08-3.57)</t>
  </si>
  <si>
    <t>3.33 (3.17-3.49)</t>
  </si>
  <si>
    <t>1.64 (1.52-1.76)</t>
  </si>
  <si>
    <t>1.61 (1.53-1.69)</t>
  </si>
  <si>
    <t>1.41 (1.23-1.58)</t>
  </si>
  <si>
    <t>1.45 (1.33-1.57)</t>
  </si>
  <si>
    <t>1.14 (1.02-1.26)</t>
  </si>
  <si>
    <t>1.11 (1.03-1.19)</t>
  </si>
  <si>
    <t>2.77 (2.58-2.97)</t>
  </si>
  <si>
    <t>2.72 (2.59-2.85)</t>
  </si>
  <si>
    <t>3.10 (2.76-3.44)</t>
  </si>
  <si>
    <t>3.17 (2.95-3.40)</t>
  </si>
  <si>
    <t>2.58 (2.42-2.74)</t>
  </si>
  <si>
    <t>2.48 (2.22-2.74)</t>
  </si>
  <si>
    <t>3.37 (3.21-3.53)</t>
  </si>
  <si>
    <t>3.22 (2.96-3.48)</t>
  </si>
  <si>
    <t>1.63 (1.55-1.71)</t>
  </si>
  <si>
    <t>1.47 (1.35-1.58)</t>
  </si>
  <si>
    <t>1.36 (1.17-1.55)</t>
  </si>
  <si>
    <t>1.12 (1.04-1.20)</t>
  </si>
  <si>
    <t>1.12 (0.99-1.25)</t>
  </si>
  <si>
    <t>2.75 (2.62-2.88)</t>
  </si>
  <si>
    <t>2.70 (2.49-2.91)</t>
  </si>
  <si>
    <t>3.21 (2.98-.343)</t>
  </si>
  <si>
    <t>3.00 (2.64-3.36)</t>
  </si>
  <si>
    <t>2.58 (2.42-2.75)</t>
  </si>
  <si>
    <t>2.47 (2.19-2.75)</t>
  </si>
  <si>
    <t>3.34 (3.18-3.50)</t>
  </si>
  <si>
    <t>3.31 (3.03-3.59)</t>
  </si>
  <si>
    <t>1.64 (1.57-1.72)</t>
  </si>
  <si>
    <t>1.56 (1.42-1.69)</t>
  </si>
  <si>
    <t>1.44 (1.32-1.56)</t>
  </si>
  <si>
    <t>1.43 (1.22-1.63)</t>
  </si>
  <si>
    <t>1.14 (1.07-1.22)</t>
  </si>
  <si>
    <t>1.04 (0.91-1.18)</t>
  </si>
  <si>
    <t>2.79 (2.66-2.92)</t>
  </si>
  <si>
    <t>2.60 (2.38-2.82)</t>
  </si>
  <si>
    <t>3.14 (2.91-3.36)</t>
  </si>
  <si>
    <t>3.18 (2.79-3.57)</t>
  </si>
  <si>
    <t>2.57 (2.43-2.72)</t>
  </si>
  <si>
    <t>2.43 (2.05-2.81)</t>
  </si>
  <si>
    <t>3.34 (3.19-3.49)</t>
  </si>
  <si>
    <t>3.29 (2.90-3.67)</t>
  </si>
  <si>
    <t>1.62 (1.55-1.69)</t>
  </si>
  <si>
    <t>1.62 (1.43-1.80)</t>
  </si>
  <si>
    <t>1.45 (1.34-1.56)</t>
  </si>
  <si>
    <t>1.36 (1.08-1.63)</t>
  </si>
  <si>
    <t>1.13 (1.05-1.20)</t>
  </si>
  <si>
    <t>1.07 (0.88-1.26)</t>
  </si>
  <si>
    <t>2.74 (2.63-2.86)</t>
  </si>
  <si>
    <t>2.69 (2.38-2.99)</t>
  </si>
  <si>
    <t>3.17 (2.96-3.37)</t>
  </si>
  <si>
    <t>3.03 (2.50-3.56)</t>
  </si>
  <si>
    <t>1.44 (1.25-1.63)</t>
  </si>
  <si>
    <t>NSAID and/or aspirin use ≥ 4 times/week</t>
  </si>
  <si>
    <t>Diabetes</t>
  </si>
  <si>
    <t>Advanced adenoma</t>
  </si>
  <si>
    <t>No. of adenomas</t>
  </si>
  <si>
    <t>Mean (SE)</t>
  </si>
  <si>
    <t>2.89 (0.16)</t>
  </si>
  <si>
    <t>2.70 (0.16)</t>
  </si>
  <si>
    <t>2.43 (0.15)</t>
  </si>
  <si>
    <t>2.06 (0.15)</t>
  </si>
  <si>
    <t>2.06 (0.14)</t>
  </si>
  <si>
    <t>3.53 (0.15)</t>
  </si>
  <si>
    <t>3.39 (0.15)</t>
  </si>
  <si>
    <t>3.38 (0.14)</t>
  </si>
  <si>
    <t>3.87 (0.15)</t>
  </si>
  <si>
    <t>2.92 (0.17)</t>
  </si>
  <si>
    <t>2.61 (0.17)</t>
  </si>
  <si>
    <t>6.42 (0.28)</t>
  </si>
  <si>
    <t>6.09 (0.28)</t>
  </si>
  <si>
    <t>5.81 (0.27)</t>
  </si>
  <si>
    <t>6.76 (0.28)</t>
  </si>
  <si>
    <t>4.97 (0.29)</t>
  </si>
  <si>
    <t>4.67 (0.27)</t>
  </si>
  <si>
    <t>1.79 (0.11)</t>
  </si>
  <si>
    <t>1.70 (0.11)</t>
  </si>
  <si>
    <t>1.66 (0.10)</t>
  </si>
  <si>
    <t>1.94 (0.11)</t>
  </si>
  <si>
    <t>1.57 (0.14)</t>
  </si>
  <si>
    <t>1.37 (0.13)</t>
  </si>
  <si>
    <t>1.73 (0.07)</t>
  </si>
  <si>
    <t>1.69 (0.07)</t>
  </si>
  <si>
    <t>1.72 (0.07)</t>
  </si>
  <si>
    <t>1.93 (0.07)</t>
  </si>
  <si>
    <t>1.35 (0.06)</t>
  </si>
  <si>
    <t>1.23 (0.06)</t>
  </si>
  <si>
    <t>1.65 (0.11)</t>
  </si>
  <si>
    <t>1.50 (0.11)</t>
  </si>
  <si>
    <t>1.38 (0.11)</t>
  </si>
  <si>
    <t>1.15 (0.10)</t>
  </si>
  <si>
    <t>1.00 (0.10)</t>
  </si>
  <si>
    <t>2.71 (0.22)</t>
  </si>
  <si>
    <t>2.38 (0.21)</t>
  </si>
  <si>
    <t>3.45 (0.21)</t>
  </si>
  <si>
    <t>3.20 (0.21)</t>
  </si>
  <si>
    <t>3.04 (0.20)</t>
  </si>
  <si>
    <t xml:space="preserve"> 3.66 (0.21)</t>
  </si>
  <si>
    <t>1.24 (0.08)</t>
  </si>
  <si>
    <t>1.20 (0.08)</t>
  </si>
  <si>
    <t>1.04 (0.07)</t>
  </si>
  <si>
    <t>1.18 (0.08)</t>
  </si>
  <si>
    <t>0.91 (0.09)</t>
  </si>
  <si>
    <t>1.06 (0.09)</t>
  </si>
  <si>
    <t>2.97 (0.12)</t>
  </si>
  <si>
    <t>2.89 (0.12)</t>
  </si>
  <si>
    <t>2.77 (0.12)</t>
  </si>
  <si>
    <t>3.11 (0.12)</t>
  </si>
  <si>
    <t>2.26 (0.12)</t>
  </si>
  <si>
    <t>2.29 (0.12)</t>
  </si>
  <si>
    <t>2.74 (0.16)</t>
  </si>
  <si>
    <t>2.82 (0.16)</t>
  </si>
  <si>
    <t>2.77 (0.16)</t>
  </si>
  <si>
    <t>2.07 (0.15)</t>
  </si>
  <si>
    <t>2.12 (0.14)</t>
  </si>
  <si>
    <t>3.37 (0.15)</t>
  </si>
  <si>
    <t>3.45 (0.15)</t>
  </si>
  <si>
    <t>3.36 (0.14)</t>
  </si>
  <si>
    <t>3.78 (0.15)</t>
  </si>
  <si>
    <t>2.92 (0.18)</t>
  </si>
  <si>
    <t>2.69 (0.17)</t>
  </si>
  <si>
    <t>6.11 (0.28)</t>
  </si>
  <si>
    <t>6.27 (0.28)</t>
  </si>
  <si>
    <t>5.79 (0.27)</t>
  </si>
  <si>
    <t>6.55 (0.28)</t>
  </si>
  <si>
    <t>4.98 (0.29)</t>
  </si>
  <si>
    <t>4.81 (0.27)</t>
  </si>
  <si>
    <t>1.72 (0.11)</t>
  </si>
  <si>
    <t>1.74 (0.11)</t>
  </si>
  <si>
    <t>1.64 (0.10)</t>
  </si>
  <si>
    <t>1.88 (0.11)</t>
  </si>
  <si>
    <t>1.40 (0.13)</t>
  </si>
  <si>
    <t>1.65 (0.07)</t>
  </si>
  <si>
    <t>1.70 (0.07)</t>
  </si>
  <si>
    <t>1.71 (0.07)</t>
  </si>
  <si>
    <t>1.90 (0.07)</t>
  </si>
  <si>
    <t>1.29 (0.06)</t>
  </si>
  <si>
    <t>1.57 (0.11)</t>
  </si>
  <si>
    <t>1.59 (0.11)</t>
  </si>
  <si>
    <t>1.40 (0.11)</t>
  </si>
  <si>
    <t>1.36 (0.11)</t>
  </si>
  <si>
    <t>1.14 (0.10)</t>
  </si>
  <si>
    <t>1.05 (0.10)</t>
  </si>
  <si>
    <t>1.16 (0.08)</t>
  </si>
  <si>
    <t>1.23 (0.08)</t>
  </si>
  <si>
    <t>1.03 (0.07)</t>
  </si>
  <si>
    <t>1.17 (0.08)</t>
  </si>
  <si>
    <t>0.92 (0.09)</t>
  </si>
  <si>
    <t>1.07 (0.09)</t>
  </si>
  <si>
    <t>2.82 (0.12)</t>
  </si>
  <si>
    <t>2.93 (0.12)</t>
  </si>
  <si>
    <t>2.74 (0.12)</t>
  </si>
  <si>
    <t>3.08 (0.12)</t>
  </si>
  <si>
    <t>2.28 (0.13)</t>
  </si>
  <si>
    <t>2.36 (0.12)</t>
  </si>
  <si>
    <t>3.29 (0.21)</t>
  </si>
  <si>
    <t>3.34 (0.12)</t>
  </si>
  <si>
    <t>3.05 (0.20)</t>
  </si>
  <si>
    <t>3.48 (0.21)</t>
  </si>
  <si>
    <t>2.45 (0.21)</t>
  </si>
  <si>
    <t>2.40 (0.16)</t>
  </si>
  <si>
    <t>2.42 (0.16)</t>
  </si>
  <si>
    <t>2.05 (0.15)</t>
  </si>
  <si>
    <t>2.13 (0.15)</t>
  </si>
  <si>
    <t>3.03 (0.15)</t>
  </si>
  <si>
    <t>2.98 (0.15)</t>
  </si>
  <si>
    <t>2.93 (0.14)</t>
  </si>
  <si>
    <t>3.36 (0.15)</t>
  </si>
  <si>
    <t>2.87 (0.17)</t>
  </si>
  <si>
    <t>2.61 (0.16)</t>
  </si>
  <si>
    <t>5.43 (0.28)</t>
  </si>
  <si>
    <t>5.39 (0.29)</t>
  </si>
  <si>
    <t>4.97 (0.28)</t>
  </si>
  <si>
    <t>5.76 (0.29)</t>
  </si>
  <si>
    <t>2.35 (0.20)</t>
  </si>
  <si>
    <t>2.68 (0.22)</t>
  </si>
  <si>
    <t>3.02 (0.22)</t>
  </si>
  <si>
    <t>2.59 (0.21)</t>
  </si>
  <si>
    <t>2.84 (0.22)</t>
  </si>
  <si>
    <t>2.97 (0.21)</t>
  </si>
  <si>
    <t>5.00 (0.29)</t>
  </si>
  <si>
    <t>4.73 (0.27)</t>
  </si>
  <si>
    <t>1.49 (0.11)</t>
  </si>
  <si>
    <t>1.43 (0.11)</t>
  </si>
  <si>
    <t>1.66 (0.11)</t>
  </si>
  <si>
    <t>1.53 (0.13)</t>
  </si>
  <si>
    <t>1.35 (0.12)</t>
  </si>
  <si>
    <t>1.46 (0.07)</t>
  </si>
  <si>
    <t>1.49 (0.08)</t>
  </si>
  <si>
    <t>1.50 (0.07)</t>
  </si>
  <si>
    <t>1.34 (0.06)</t>
  </si>
  <si>
    <t>1.25 (0.06)</t>
  </si>
  <si>
    <t>1.35 (0.11)</t>
  </si>
  <si>
    <t>1.16 (0.11)</t>
  </si>
  <si>
    <t>0.99 (0.09)</t>
  </si>
  <si>
    <t>1.00 (0.08)</t>
  </si>
  <si>
    <t>1.06 (0.08)</t>
  </si>
  <si>
    <t>0.88 (0.07)</t>
  </si>
  <si>
    <t>1.04 (0.08)</t>
  </si>
  <si>
    <t>1.13 (0.08)</t>
  </si>
  <si>
    <t>2.45 (0.12)</t>
  </si>
  <si>
    <t>2.55 (0.13)</t>
  </si>
  <si>
    <t>2.38 (0.12)</t>
  </si>
  <si>
    <t>2.75 (0.13)</t>
  </si>
  <si>
    <t>2.32 (0.12)</t>
  </si>
  <si>
    <t>2.38 (0.11)</t>
  </si>
  <si>
    <t>0.12 (0.22)</t>
  </si>
  <si>
    <t>0.01 (0.21)</t>
  </si>
  <si>
    <t>-0.12 (0.22)</t>
  </si>
  <si>
    <t>-0.12(0.22)</t>
  </si>
  <si>
    <t>0.06 (0.20)</t>
  </si>
  <si>
    <t>-0.16 (0.21)</t>
  </si>
  <si>
    <t>0.06 (0.21)</t>
  </si>
  <si>
    <t>-0.02 (0.20)</t>
  </si>
  <si>
    <t>-0.09 (0.21)</t>
  </si>
  <si>
    <t>0.003 (0.25)</t>
  </si>
  <si>
    <t>0.09 (0.23)</t>
  </si>
  <si>
    <t>-0.31 (0.40)</t>
  </si>
  <si>
    <t>0.18 (0.40)</t>
  </si>
  <si>
    <t>-0.02 (0.38)</t>
  </si>
  <si>
    <t>-0.21 (0.40)</t>
  </si>
  <si>
    <t>0.01 (0.41)</t>
  </si>
  <si>
    <t>0.14 (0.38)</t>
  </si>
  <si>
    <t>-0.01 (0.31)</t>
  </si>
  <si>
    <t>0.07 (0.29)</t>
  </si>
  <si>
    <t>-0.08 (0.15)</t>
  </si>
  <si>
    <t>0.05 (0.15)</t>
  </si>
  <si>
    <t>-0.02 (0.15)</t>
  </si>
  <si>
    <t>-0.06 (0.15)</t>
  </si>
  <si>
    <t>-0.003 (0.19)</t>
  </si>
  <si>
    <t>0.03 (0.18)</t>
  </si>
  <si>
    <t>-0.08 (0.10)</t>
  </si>
  <si>
    <t>0.01 (0.10)</t>
  </si>
  <si>
    <t>-0.01 (0.10)</t>
  </si>
  <si>
    <t>-0.03 (0.10)</t>
  </si>
  <si>
    <t>0.01 (0.09)</t>
  </si>
  <si>
    <t>0.05 (0.08)</t>
  </si>
  <si>
    <t>-0.16 (0.30)</t>
  </si>
  <si>
    <t>0.14 (0.30)</t>
  </si>
  <si>
    <t>0.003 (0.29)</t>
  </si>
  <si>
    <t>-0.18 (0.30)</t>
  </si>
  <si>
    <t>0.07 (0.16)</t>
  </si>
  <si>
    <t>0.02 (0.17)</t>
  </si>
  <si>
    <t>-0.03 (0.18)</t>
  </si>
  <si>
    <t>-0.02 (0.17)</t>
  </si>
  <si>
    <t>0.04 (0.18)</t>
  </si>
  <si>
    <t>0.01 (0.13)</t>
  </si>
  <si>
    <t>0.01 (0.12)</t>
  </si>
  <si>
    <t>-0.15 (0.18)</t>
  </si>
  <si>
    <t>-0.08 (0.16)</t>
  </si>
  <si>
    <t>0.09 (0.16)</t>
  </si>
  <si>
    <t>0.02 (0.15)</t>
  </si>
  <si>
    <t>-0.12 (0.16)</t>
  </si>
  <si>
    <t>-0.003 (0.14)</t>
  </si>
  <si>
    <t>0.04 (0.14)</t>
  </si>
  <si>
    <t>-0.07 (0.11)</t>
  </si>
  <si>
    <t>0.03 (0.11)</t>
  </si>
  <si>
    <t>-0.005 (0.11)</t>
  </si>
  <si>
    <t>-0.49 (0.22)</t>
  </si>
  <si>
    <t>-0.29 (0.23)</t>
  </si>
  <si>
    <t>-0.38 (0.22)</t>
  </si>
  <si>
    <t>-0.50 (0.23)</t>
  </si>
  <si>
    <t>0.08 (0.21)</t>
  </si>
  <si>
    <t>0.06 (0.19)</t>
  </si>
  <si>
    <t>-0.50 (0.21)</t>
  </si>
  <si>
    <t>-0.41 (0.21)</t>
  </si>
  <si>
    <t>-0.45 (0.20)</t>
  </si>
  <si>
    <t>-0.05 (0.25)</t>
  </si>
  <si>
    <t>-0.001 (0.23)</t>
  </si>
  <si>
    <t>-0.99 (0.40)</t>
  </si>
  <si>
    <t>-0.69 (0.41)</t>
  </si>
  <si>
    <t>-0.84 (0.39)</t>
  </si>
  <si>
    <t>-1.00 (0.40)</t>
  </si>
  <si>
    <t>0.03 (0.40)</t>
  </si>
  <si>
    <t>0.06 (0.38)</t>
  </si>
  <si>
    <t>0.08 (0.13)</t>
  </si>
  <si>
    <t>0.07 (0.12)</t>
  </si>
  <si>
    <t>-0.03 (0.31)</t>
  </si>
  <si>
    <t>-0.03 (0.29)</t>
  </si>
  <si>
    <t>-0.48 (0.30)</t>
  </si>
  <si>
    <t>-0.36 (0.30)</t>
  </si>
  <si>
    <t>-0.45 (0.29)</t>
  </si>
  <si>
    <t>-0.64 (0.30)</t>
  </si>
  <si>
    <t>0.06 (0.17)</t>
  </si>
  <si>
    <t>-0.51 (0.18)</t>
  </si>
  <si>
    <t>-0.33 (0.18)</t>
  </si>
  <si>
    <t>-0.22 (0.15)</t>
  </si>
  <si>
    <t>-0.21 (0.16)</t>
  </si>
  <si>
    <t>-0.23 (0.15)</t>
  </si>
  <si>
    <t>-0.28 (0.15)</t>
  </si>
  <si>
    <t>-0.03 (0.19)</t>
  </si>
  <si>
    <t>0.02 (0.08)</t>
  </si>
  <si>
    <t>-0.0002 (0.14)</t>
  </si>
  <si>
    <t>-0.01 (0.13)</t>
  </si>
  <si>
    <t>-0.38 (0.17)</t>
  </si>
  <si>
    <t>-0.36 (0.18)</t>
  </si>
  <si>
    <t>-0.02 (0.18)</t>
  </si>
  <si>
    <t>-0.27 (0.10)</t>
  </si>
  <si>
    <t>-0.2 (0.10)</t>
  </si>
  <si>
    <t>-0.22 (0.10)</t>
  </si>
  <si>
    <t>-0.01 (0.09)</t>
  </si>
  <si>
    <t>-0.25 (0.16)</t>
  </si>
  <si>
    <t>-0.36 (0.16)</t>
  </si>
  <si>
    <t>-0.15 (0.16)</t>
  </si>
  <si>
    <t>-0.24 (0.11)</t>
  </si>
  <si>
    <t>-0.13 (0.11)</t>
  </si>
  <si>
    <t>-0.16 (0.11)</t>
  </si>
  <si>
    <t>-0.14 (0.11)</t>
  </si>
  <si>
    <t>-0.03 (0.32)</t>
  </si>
  <si>
    <t>0.24 (0.31)</t>
  </si>
  <si>
    <t>0.13 (0.31)</t>
  </si>
  <si>
    <t>-0.05 (0.29)</t>
  </si>
  <si>
    <t>-0.07 (0.30)</t>
  </si>
  <si>
    <t>0.15 (0.30)</t>
  </si>
  <si>
    <t>0.06 (0.29)</t>
  </si>
  <si>
    <t>-0.08 (0.34)</t>
  </si>
  <si>
    <t>-0.10 (0.57)</t>
  </si>
  <si>
    <t>0.38 (0.57)</t>
  </si>
  <si>
    <t>0.19 (0.56)</t>
  </si>
  <si>
    <t>-0.13 (0.56)</t>
  </si>
  <si>
    <t>0.11 (0.22)</t>
  </si>
  <si>
    <t>0.05 (0.21)</t>
  </si>
  <si>
    <t>-0.02 (0.22)</t>
  </si>
  <si>
    <t>0.02 (0.42)</t>
  </si>
  <si>
    <t>0.32 (0.42)</t>
  </si>
  <si>
    <t>0.18 (0.41)</t>
  </si>
  <si>
    <t>-0.08 (0.43)</t>
  </si>
  <si>
    <t>-0.05 (0.24)</t>
  </si>
  <si>
    <t>0.01 (0.24)</t>
  </si>
  <si>
    <t>0.07 (0.25)</t>
  </si>
  <si>
    <t>-0.12 (0.25)</t>
  </si>
  <si>
    <t>-0.03 (0.26)</t>
  </si>
  <si>
    <t>-0.05 (0.15)</t>
  </si>
  <si>
    <t>0.04 (0.15)</t>
  </si>
  <si>
    <t>0.02 (0.14)</t>
  </si>
  <si>
    <t>-0.05 (0.12)</t>
  </si>
  <si>
    <t>0.04 (0.22)</t>
  </si>
  <si>
    <t>0.21 (0.22)</t>
  </si>
  <si>
    <t>0.14 (0.22)</t>
  </si>
  <si>
    <t>-0.05 (0.20)</t>
  </si>
  <si>
    <t>-0.003 (0.18)</t>
  </si>
  <si>
    <t>-0.07 (0.15)</t>
  </si>
  <si>
    <t>0.03 (0.15)</t>
  </si>
  <si>
    <t>-0.01 (0.15)</t>
  </si>
  <si>
    <t>0.002 (0.32)</t>
  </si>
  <si>
    <t>0.21 (0.32)</t>
  </si>
  <si>
    <t>0.11 (0.31)</t>
  </si>
  <si>
    <t>0.02 (0.28)</t>
  </si>
  <si>
    <t>0.01 (0.30)</t>
  </si>
  <si>
    <t>0.09 (0.30)</t>
  </si>
  <si>
    <t>0.05 (0.29)</t>
  </si>
  <si>
    <t>-0.05 (0.34)</t>
  </si>
  <si>
    <t>0.01 (0.57)</t>
  </si>
  <si>
    <t>0.30 (0.57)</t>
  </si>
  <si>
    <t>0.16 (0.56)</t>
  </si>
  <si>
    <t>-0.03 (0.55)</t>
  </si>
  <si>
    <t>0.06 (0.22)</t>
  </si>
  <si>
    <t>0.07 (0.22)</t>
  </si>
  <si>
    <t>0.05 (0.22)</t>
  </si>
  <si>
    <t>-0.02 (0.26)</t>
  </si>
  <si>
    <t>0.008 (0.17)</t>
  </si>
  <si>
    <t>0.03 (0.25)</t>
  </si>
  <si>
    <t>-0.01 (0.42)</t>
  </si>
  <si>
    <t>0.19 (0.42)</t>
  </si>
  <si>
    <t>0.28 (0.43)</t>
  </si>
  <si>
    <t>0.16 (0.43)</t>
  </si>
  <si>
    <t>-0.02 (0.24)</t>
  </si>
  <si>
    <t>0.006 (0.16)</t>
  </si>
  <si>
    <t>-0.15 (0.25)</t>
  </si>
  <si>
    <t>-0.03 (0.25)</t>
  </si>
  <si>
    <t>-0.002 (0.14)</t>
  </si>
  <si>
    <t>-0.03 (0.12)</t>
  </si>
  <si>
    <t>0.10 (0.22)</t>
  </si>
  <si>
    <t>0.20 (0.22)</t>
  </si>
  <si>
    <t>0.01 (0.19)</t>
  </si>
  <si>
    <t>-0.10 (0.15)</t>
  </si>
  <si>
    <t>2.65 (0.11)</t>
  </si>
  <si>
    <t>2.80 (0.11)</t>
  </si>
  <si>
    <t>2.45 (0.09)</t>
  </si>
  <si>
    <t>2.69 (0.09)</t>
  </si>
  <si>
    <t>2.30 (0.11)</t>
  </si>
  <si>
    <t>2.57 (0.11)</t>
  </si>
  <si>
    <t>3.45 (0.10)</t>
  </si>
  <si>
    <t>3.63 (0.11)</t>
  </si>
  <si>
    <t>3.28 (0.09)</t>
  </si>
  <si>
    <t>3.43 (0.09)</t>
  </si>
  <si>
    <t>3.22 (0.11)</t>
  </si>
  <si>
    <t>3.17 (0.11)</t>
  </si>
  <si>
    <t>2.86 (0.09)</t>
  </si>
  <si>
    <t>3.00 (0.09)</t>
  </si>
  <si>
    <t>2.70 (0.08)</t>
  </si>
  <si>
    <t>2.86 (0.08)</t>
  </si>
  <si>
    <t>2.59 (0.09)</t>
  </si>
  <si>
    <t>2.71 (0.09)</t>
  </si>
  <si>
    <t>3.24 (0.15)</t>
  </si>
  <si>
    <t>3.43 (0.15)</t>
  </si>
  <si>
    <t>3.03 (0.13)</t>
  </si>
  <si>
    <t>3.27 (0.13)</t>
  </si>
  <si>
    <t>2.93 (0.16)</t>
  </si>
  <si>
    <t>3.03 (0.16)</t>
  </si>
  <si>
    <t xml:space="preserve">Mean (SE) </t>
  </si>
  <si>
    <t>2.58 (0.11)</t>
  </si>
  <si>
    <t>2.50 (0.09)</t>
  </si>
  <si>
    <t>2.60 (0.09)</t>
  </si>
  <si>
    <t>2.31 (0.11)</t>
  </si>
  <si>
    <t>2.50 (0.11)</t>
  </si>
  <si>
    <t>3.36 (0.10)</t>
  </si>
  <si>
    <t>3.61 (0.11)</t>
  </si>
  <si>
    <t>3.30 (0.09)</t>
  </si>
  <si>
    <t>3.36 (0.09)</t>
  </si>
  <si>
    <t>3.21 (0.11)</t>
  </si>
  <si>
    <t>3.11 (0.11)</t>
  </si>
  <si>
    <t>2.78 (0.09)</t>
  </si>
  <si>
    <t>2.72 (0.08)</t>
  </si>
  <si>
    <t>2.81 (0.08)</t>
  </si>
  <si>
    <t>2.64 (0.09)</t>
  </si>
  <si>
    <t>3.16 (0.15)</t>
  </si>
  <si>
    <t>3.41 (0.15)</t>
  </si>
  <si>
    <t>3.09 (0.13)</t>
  </si>
  <si>
    <t>2.22 (0.11)</t>
  </si>
  <si>
    <t>2.41 (0.12)</t>
  </si>
  <si>
    <t>2.20 (0.10)</t>
  </si>
  <si>
    <t>2.33 (0.09)</t>
  </si>
  <si>
    <t>2.08 (0.11)</t>
  </si>
  <si>
    <t>2.29 (0.11)</t>
  </si>
  <si>
    <t>2.98 (0.10)</t>
  </si>
  <si>
    <t>2.93 (0.10)</t>
  </si>
  <si>
    <t>3.05 (0.09)</t>
  </si>
  <si>
    <t>2.91 (0.11)</t>
  </si>
  <si>
    <t>2.86 (0.11)</t>
  </si>
  <si>
    <t>2.42 (0.09)</t>
  </si>
  <si>
    <t>2.65 (0.09)</t>
  </si>
  <si>
    <t>2.43 (0.08)</t>
  </si>
  <si>
    <t>2.54 (0.08)</t>
  </si>
  <si>
    <t>2.36 (0.09)</t>
  </si>
  <si>
    <t>2.43 (0.09)</t>
  </si>
  <si>
    <t>2.78 (0.15)</t>
  </si>
  <si>
    <t>2.93 (0.15)</t>
  </si>
  <si>
    <t>2.70 (0.13)</t>
  </si>
  <si>
    <t>2.83 (0.13)</t>
  </si>
  <si>
    <t>2.62 (0.16)</t>
  </si>
  <si>
    <t>2.72 (0.16)</t>
  </si>
  <si>
    <t>-0.001 (0.16)</t>
  </si>
  <si>
    <t>0.05 (0.13)</t>
  </si>
  <si>
    <t>-0.09 (0.13)</t>
  </si>
  <si>
    <t>0.01 (0.16)</t>
  </si>
  <si>
    <t>-0.07 (0.16)</t>
  </si>
  <si>
    <t>-0.09 (0.15)</t>
  </si>
  <si>
    <t>0.02 (0.13)</t>
  </si>
  <si>
    <t>-0.07 (0.13)</t>
  </si>
  <si>
    <t>-0.01 (0.16)</t>
  </si>
  <si>
    <t>-0.06 (0.16)</t>
  </si>
  <si>
    <t>0.004 (0.12)</t>
  </si>
  <si>
    <t>0.01 (0.11)</t>
  </si>
  <si>
    <t>-0.08 (0.12)</t>
  </si>
  <si>
    <t>0.06 (0.18)</t>
  </si>
  <si>
    <t>0.004 (0.22)</t>
  </si>
  <si>
    <t>-0.11 (0.18)</t>
  </si>
  <si>
    <t>-0.07 (0.22)</t>
  </si>
  <si>
    <t>-0.02 (0.21)</t>
  </si>
  <si>
    <t>-0.07 (0.21)</t>
  </si>
  <si>
    <t>-0.05 (0.11)</t>
  </si>
  <si>
    <t>-0.002 (0.13)</t>
  </si>
  <si>
    <t>-0.43 (0.16)</t>
  </si>
  <si>
    <t>-0.39 (0.16)</t>
  </si>
  <si>
    <t>-0.25 (0.13)</t>
  </si>
  <si>
    <t>-0.37 (0.13)</t>
  </si>
  <si>
    <t>-0.22 (0.16)</t>
  </si>
  <si>
    <t>-0.28 (0.16)</t>
  </si>
  <si>
    <t>-0.47 (0.15)</t>
  </si>
  <si>
    <t>-0.45 (0.15)</t>
  </si>
  <si>
    <t>-0.35 (0.13)</t>
  </si>
  <si>
    <t>-0.39 (0.13)</t>
  </si>
  <si>
    <t>-0.31 (0.16)</t>
  </si>
  <si>
    <t>-0.45 (0.12)</t>
  </si>
  <si>
    <t>-0.27 (0.11)</t>
  </si>
  <si>
    <t>-0.31 (0.11)</t>
  </si>
  <si>
    <t>-0.23 (0.13)</t>
  </si>
  <si>
    <t>-0.28 (0.13)</t>
  </si>
  <si>
    <t>-0.46 (0.21)</t>
  </si>
  <si>
    <t>-0.5 (0.21)</t>
  </si>
  <si>
    <t>-0.44 (0.18)</t>
  </si>
  <si>
    <t>-0.31 (0.22)</t>
  </si>
  <si>
    <t>0.14 (0.19)</t>
  </si>
  <si>
    <t>0.08 (0.23)</t>
  </si>
  <si>
    <t>0.09 (0.19)</t>
  </si>
  <si>
    <t>0.05 (0.23)</t>
  </si>
  <si>
    <t>-0.09 (0.17)</t>
  </si>
  <si>
    <t>0.07 (0.15)</t>
  </si>
  <si>
    <t>-0.05 (0.30)</t>
  </si>
  <si>
    <t>0.17 (0.25)</t>
  </si>
  <si>
    <t>0.07 (0.31)</t>
  </si>
  <si>
    <t>-0.04 (0.224)</t>
  </si>
  <si>
    <t>0.11 (0.19)</t>
  </si>
  <si>
    <t>0.06 (0.23)</t>
  </si>
  <si>
    <t>0.04 (0.19)</t>
  </si>
  <si>
    <t>-0.01 (0.23)</t>
  </si>
  <si>
    <t>-0.10 (0.18)</t>
  </si>
  <si>
    <t>0.05 (0.18)</t>
  </si>
  <si>
    <t>0.04 (0.30)</t>
  </si>
  <si>
    <t>0.11 (0.26)</t>
  </si>
  <si>
    <t>0.003 (0.31)</t>
  </si>
  <si>
    <t>6.10 (0.20)</t>
  </si>
  <si>
    <t>6.42 (0.20)</t>
  </si>
  <si>
    <t>6.73 (0.17)</t>
  </si>
  <si>
    <t>6.13 (0.17)</t>
  </si>
  <si>
    <t>5.52 (0.21)</t>
  </si>
  <si>
    <t>5.74(0.21)</t>
  </si>
  <si>
    <t>1.72 (0.08)</t>
  </si>
  <si>
    <t>1.82 (0.08)</t>
  </si>
  <si>
    <t>1.75 (0.07)</t>
  </si>
  <si>
    <t>1.63 (0.08)</t>
  </si>
  <si>
    <t>1.73 (0.05)</t>
  </si>
  <si>
    <t>1.81 (0.05)</t>
  </si>
  <si>
    <t>1.63 (0.05)</t>
  </si>
  <si>
    <t>1.69 (0.05)</t>
  </si>
  <si>
    <t>1.59 (0.05)</t>
  </si>
  <si>
    <t>1.54 (0.06)</t>
  </si>
  <si>
    <t>1.17 (0.06)</t>
  </si>
  <si>
    <t>1.00 (0.06)</t>
  </si>
  <si>
    <t>1.17 (0.05)</t>
  </si>
  <si>
    <t>1.07 (0.05)</t>
  </si>
  <si>
    <t>1.51 (0.08)</t>
  </si>
  <si>
    <t>1.61 (0.08)</t>
  </si>
  <si>
    <t>1.38 (0.07)</t>
  </si>
  <si>
    <t>1.52 (0.07)</t>
  </si>
  <si>
    <t>1.30 (0.08)</t>
  </si>
  <si>
    <t>1.40 (0.08)</t>
  </si>
  <si>
    <t>1.14 (0.05)</t>
  </si>
  <si>
    <t>1.19 (0.05)</t>
  </si>
  <si>
    <t>5.94 (0.20)</t>
  </si>
  <si>
    <t>6.41 (0.20)</t>
  </si>
  <si>
    <t>5.80 (0.17)</t>
  </si>
  <si>
    <t>5.96 (0.17)</t>
  </si>
  <si>
    <t>5.60 (0.21)</t>
  </si>
  <si>
    <t>1.68 (0.08)</t>
  </si>
  <si>
    <t>1.81 (0.08)</t>
  </si>
  <si>
    <t>1.67 (0.07)</t>
  </si>
  <si>
    <t>1.62 (0.08)</t>
  </si>
  <si>
    <t>1.59 (0.08)</t>
  </si>
  <si>
    <t>1.80 (0.05)</t>
  </si>
  <si>
    <t>1.66 (0.05)</t>
  </si>
  <si>
    <t>1.59 (0.06)</t>
  </si>
  <si>
    <t>1.51 (0.06)</t>
  </si>
  <si>
    <t>1.48 (0.08)</t>
  </si>
  <si>
    <t>1.60 (0.08)</t>
  </si>
  <si>
    <t>1.42 (0.07)</t>
  </si>
  <si>
    <t>1.32 (0.08)</t>
  </si>
  <si>
    <t>1.37 (0.08)</t>
  </si>
  <si>
    <t>1.09 (0.05)</t>
  </si>
  <si>
    <t>1.20 (0.05)</t>
  </si>
  <si>
    <t>1.08 (0.05)</t>
  </si>
  <si>
    <t>1.15 (0.05)</t>
  </si>
  <si>
    <t>1.13 (0.06)</t>
  </si>
  <si>
    <t>5.19 (0.20)</t>
  </si>
  <si>
    <t>5.58 (0.21)</t>
  </si>
  <si>
    <t>5.13 (0.18)</t>
  </si>
  <si>
    <t>5.37 (0.17)</t>
  </si>
  <si>
    <t>4.98 (0.21)</t>
  </si>
  <si>
    <t>5.15 (0.21)</t>
  </si>
  <si>
    <t>1.50 (0.08)</t>
  </si>
  <si>
    <t>1.57 (0.08)</t>
  </si>
  <si>
    <t>1.47 (0.07)</t>
  </si>
  <si>
    <t>1.55 (0.07)</t>
  </si>
  <si>
    <t>1.47 (0.08)</t>
  </si>
  <si>
    <t>1.48 (0.05)</t>
  </si>
  <si>
    <t>1.60 (0.05)</t>
  </si>
  <si>
    <t>1.46 (0.05)</t>
  </si>
  <si>
    <t>1.50 (0.05)</t>
  </si>
  <si>
    <t>1.44 (0.06)</t>
  </si>
  <si>
    <t>1.38 (0.05)</t>
  </si>
  <si>
    <t>1.28 (0.08)</t>
  </si>
  <si>
    <t>1.36 (0.08)</t>
  </si>
  <si>
    <t>1.23 (0.07)</t>
  </si>
  <si>
    <t>1.28 (0.07)</t>
  </si>
  <si>
    <t>0.94 (0.05)</t>
  </si>
  <si>
    <t>1.05 (0.06)</t>
  </si>
  <si>
    <t>0.97 (0.05)</t>
  </si>
  <si>
    <t>1.05 (0.05)</t>
  </si>
  <si>
    <t>0.92 (0.06)</t>
  </si>
  <si>
    <t>-0.16 (0.28)</t>
  </si>
  <si>
    <t>-0.01 (0.28)</t>
  </si>
  <si>
    <t>0.07(0.25)</t>
  </si>
  <si>
    <t>-0.16 (0.25)</t>
  </si>
  <si>
    <t>0.002 (0.30)</t>
  </si>
  <si>
    <t>-0.13 (0.30)</t>
  </si>
  <si>
    <t>-0.01 (0.11)</t>
  </si>
  <si>
    <t>-0.05 (0.09)</t>
  </si>
  <si>
    <t>-0.01 (0.12)</t>
  </si>
  <si>
    <t>-0.04 (0.12)</t>
  </si>
  <si>
    <t>0.01 (0.08)</t>
  </si>
  <si>
    <t>-0.04 (0.07)</t>
  </si>
  <si>
    <t>-0.01 (0.07)</t>
  </si>
  <si>
    <t>0.01 (0.06)</t>
  </si>
  <si>
    <t>-0.03 (0.06)</t>
  </si>
  <si>
    <t>0.001 (0.08)</t>
  </si>
  <si>
    <t>-0.03 (0.08)</t>
  </si>
  <si>
    <t>0.04 (0.09)</t>
  </si>
  <si>
    <t>-0.06 (0.09)</t>
  </si>
  <si>
    <t>0.01 (0.07)</t>
  </si>
  <si>
    <t>-0.03 (0.07)</t>
  </si>
  <si>
    <t>-0.03 (0.11)</t>
  </si>
  <si>
    <t>-0.04 (0.08)</t>
  </si>
  <si>
    <t>-0.003 (0.08)</t>
  </si>
  <si>
    <t>-0.91 (0.28)</t>
  </si>
  <si>
    <t>-0.84 (0.29)</t>
  </si>
  <si>
    <t>-0.60 (0.25)</t>
  </si>
  <si>
    <t>-0.75 (0.25)</t>
  </si>
  <si>
    <t>-0.54 (0.30)</t>
  </si>
  <si>
    <t>-0.59 (0.30)</t>
  </si>
  <si>
    <t>-0.22 (0.11)</t>
  </si>
  <si>
    <t>-0.18 (0.09)</t>
  </si>
  <si>
    <t>-0.20 (0.09)</t>
  </si>
  <si>
    <t>-0.16 (0.12)</t>
  </si>
  <si>
    <t>-0.14 (0.12)</t>
  </si>
  <si>
    <t>-0.12 (0.08)</t>
  </si>
  <si>
    <t>-0.08 (0.08)</t>
  </si>
  <si>
    <t>-0.13 (0.07)</t>
  </si>
  <si>
    <t>-0.25 (0.07)</t>
  </si>
  <si>
    <t>-0.21 (0.07)</t>
  </si>
  <si>
    <t>-0.17 (0.07)</t>
  </si>
  <si>
    <t>-0.19 (0.06)</t>
  </si>
  <si>
    <t>-0.15 (0.08)</t>
  </si>
  <si>
    <t>-0.16 (0.08)</t>
  </si>
  <si>
    <t>-0.25 (0.11)</t>
  </si>
  <si>
    <t>-0.15 (0.09)</t>
  </si>
  <si>
    <t>-0.24 (0.09)</t>
  </si>
  <si>
    <t>-0.2 (0.08)</t>
  </si>
  <si>
    <t>-0.14 (0.08)</t>
  </si>
  <si>
    <t>-0.10 (0.07)</t>
  </si>
  <si>
    <t>-0.14 (0.40)</t>
  </si>
  <si>
    <t>0.23 (0.35)</t>
  </si>
  <si>
    <t>0.14 (0.42)</t>
  </si>
  <si>
    <t>-0.04 (0.15)</t>
  </si>
  <si>
    <t>0.06 (0.13)</t>
  </si>
  <si>
    <t>0.03 (0.17)</t>
  </si>
  <si>
    <t>0.03 (0.09)</t>
  </si>
  <si>
    <t>0.11 (0.13)</t>
  </si>
  <si>
    <t>0.05 (0.16)</t>
  </si>
  <si>
    <t>0.04 (0.12)</t>
  </si>
  <si>
    <t>-0.06 (0.40)</t>
  </si>
  <si>
    <t>0.15 (0.35)</t>
  </si>
  <si>
    <t>0.05 (0.42)</t>
  </si>
  <si>
    <t>0.02 (0.09)</t>
  </si>
  <si>
    <t>0.02 (0.16)</t>
  </si>
  <si>
    <t>0.09 (0.13)</t>
  </si>
  <si>
    <t>-0.06 (0.11)</t>
  </si>
  <si>
    <t>-0.04 (0.10)</t>
  </si>
  <si>
    <t>0.04 (0.11)</t>
  </si>
  <si>
    <t>GA</t>
  </si>
  <si>
    <t>SC</t>
  </si>
  <si>
    <t>Men</t>
  </si>
  <si>
    <t>Women</t>
  </si>
  <si>
    <t>&lt;22.5</t>
  </si>
  <si>
    <t>22.5-25</t>
  </si>
  <si>
    <t>25-27.5</t>
  </si>
  <si>
    <t>27.5-30</t>
  </si>
  <si>
    <t>30-35</t>
  </si>
  <si>
    <t>&gt;35</t>
  </si>
  <si>
    <t>EOT</t>
  </si>
  <si>
    <t>Vit. D + Calcium</t>
  </si>
  <si>
    <t>Baseline</t>
  </si>
  <si>
    <t>Year 1</t>
  </si>
  <si>
    <t>2.57 (2.41-2.73)</t>
  </si>
  <si>
    <t>3.29 (3.13-3.45)</t>
  </si>
  <si>
    <t>2.73 (2.61-2.86)</t>
  </si>
  <si>
    <t>1.60 (1.52-1.68)</t>
  </si>
  <si>
    <t>1.44 (1.32-1.55)</t>
  </si>
  <si>
    <t>1.13 (1.06-1.21)</t>
  </si>
  <si>
    <r>
      <t>Abs. Diff. Year 1</t>
    </r>
    <r>
      <rPr>
        <b/>
        <vertAlign val="superscript"/>
        <sz val="12"/>
        <color theme="1"/>
        <rFont val="Times New Roman"/>
        <family val="1"/>
      </rPr>
      <t>b</t>
    </r>
  </si>
  <si>
    <r>
      <t>Abs. Diff. EOT</t>
    </r>
    <r>
      <rPr>
        <b/>
        <vertAlign val="superscript"/>
        <sz val="12"/>
        <color theme="1"/>
        <rFont val="Times New Roman"/>
        <family val="1"/>
      </rPr>
      <t>c</t>
    </r>
  </si>
  <si>
    <t>Vit. D, vitamin D.</t>
  </si>
  <si>
    <r>
      <t xml:space="preserve"> Abs. Diff. Year 1</t>
    </r>
    <r>
      <rPr>
        <b/>
        <vertAlign val="superscript"/>
        <sz val="12"/>
        <color theme="1"/>
        <rFont val="Times New Roman"/>
        <family val="1"/>
      </rPr>
      <t>b</t>
    </r>
  </si>
  <si>
    <t>Alcohol intake, drinks/d</t>
  </si>
  <si>
    <t>Serrated polyps</t>
  </si>
  <si>
    <t>2.51 (2.25-2.78)</t>
  </si>
  <si>
    <t>3.45 (3.19-3.72)</t>
  </si>
  <si>
    <t>1.67 (1.54-1.80)</t>
  </si>
  <si>
    <t>1.07 (0.94-1.20)</t>
  </si>
  <si>
    <t>2.74 (2.53-2.96)</t>
  </si>
  <si>
    <t>3.12 (2.90-3.34)</t>
  </si>
  <si>
    <t>3.22 (2.85-3.59)</t>
  </si>
  <si>
    <t>tx, treatment; Vit. D, vitamin D.</t>
  </si>
  <si>
    <t xml:space="preserve">Abbreviations: Diff, difference; EOT, end of treatment; FLIC, flagellin; IgA, immunoglobulin A; IgG, immunoglobulin G; LPS, lipopolysaccharide; Tx, treatment; </t>
  </si>
  <si>
    <t>Abbreviations: Diff, difference; EOT, end of treatment; FLIC, flagellin; IgA, immunoglobulin A; IgG, immunoglobulin G; LPS, lipopolysaccharide;</t>
  </si>
  <si>
    <t>23.24 (0.68)</t>
  </si>
  <si>
    <t>26.88 (0.68)</t>
  </si>
  <si>
    <t>30.44 (0.68)</t>
  </si>
  <si>
    <t>22.75  (0.70)</t>
  </si>
  <si>
    <t>25.93 (0.70)</t>
  </si>
  <si>
    <t>26.98 (0.70)</t>
  </si>
  <si>
    <t>0.45 (1.37)</t>
  </si>
  <si>
    <t>2.97 (1.38)</t>
  </si>
  <si>
    <t>24.72 (0.59)</t>
  </si>
  <si>
    <t>32.47 (0.59)</t>
  </si>
  <si>
    <t>34.48 (0.60)</t>
  </si>
  <si>
    <t>22.50 (0.59)</t>
  </si>
  <si>
    <t>21.37 (0.59)</t>
  </si>
  <si>
    <t>24.46 (0.59)</t>
  </si>
  <si>
    <t>8.89 (1.18)</t>
  </si>
  <si>
    <t>7.82 (1.19)</t>
  </si>
  <si>
    <t>25.02 (0.77)</t>
  </si>
  <si>
    <t>33.56 (0.77)</t>
  </si>
  <si>
    <t>36.24 (0.78)</t>
  </si>
  <si>
    <t>23.22 (0.77)</t>
  </si>
  <si>
    <t>21.42 (0.78)</t>
  </si>
  <si>
    <t>25.48 (0.77)</t>
  </si>
  <si>
    <t>10.35 (1.55)</t>
  </si>
  <si>
    <t>8.96 (1.55)</t>
  </si>
  <si>
    <r>
      <t>Abs. Tx Year 1</t>
    </r>
    <r>
      <rPr>
        <b/>
        <vertAlign val="superscript"/>
        <sz val="12"/>
        <color theme="1"/>
        <rFont val="Times New Roman"/>
        <family val="1"/>
      </rPr>
      <t>b</t>
    </r>
  </si>
  <si>
    <r>
      <t>Abs. Tx EOT</t>
    </r>
    <r>
      <rPr>
        <b/>
        <vertAlign val="superscript"/>
        <sz val="12"/>
        <color theme="1"/>
        <rFont val="Times New Roman"/>
        <family val="1"/>
      </rPr>
      <t>c</t>
    </r>
  </si>
  <si>
    <r>
      <t>∆</t>
    </r>
    <r>
      <rPr>
        <b/>
        <sz val="8.4"/>
        <color theme="1"/>
        <rFont val="Times New Roman"/>
        <family val="1"/>
      </rPr>
      <t xml:space="preserve"> tx Year 1</t>
    </r>
    <r>
      <rPr>
        <b/>
        <vertAlign val="superscript"/>
        <sz val="8.4"/>
        <color theme="1"/>
        <rFont val="Times New Roman"/>
        <family val="1"/>
      </rPr>
      <t>d</t>
    </r>
  </si>
  <si>
    <r>
      <t>∆</t>
    </r>
    <r>
      <rPr>
        <b/>
        <sz val="8.4"/>
        <color theme="1"/>
        <rFont val="Times New Roman"/>
        <family val="1"/>
      </rPr>
      <t xml:space="preserve"> tx EOT</t>
    </r>
    <r>
      <rPr>
        <b/>
        <vertAlign val="superscript"/>
        <sz val="8.4"/>
        <color theme="1"/>
        <rFont val="Times New Roman"/>
        <family val="1"/>
      </rPr>
      <t>e</t>
    </r>
  </si>
  <si>
    <t>1.75 (1.58-1.93)</t>
  </si>
  <si>
    <t>1.69 (1.50-1.88)</t>
  </si>
  <si>
    <t>1.63 (1.42-1.83)</t>
  </si>
  <si>
    <t>1.77 (1.56-1.98)</t>
  </si>
  <si>
    <t>1.75 (1.63-1.87)</t>
  </si>
  <si>
    <t>1.68 (1.52-1.83)</t>
  </si>
  <si>
    <t>1.59 (1.47-1.72)</t>
  </si>
  <si>
    <t>1.83 (1.68-1.98)</t>
  </si>
  <si>
    <t>1.38 (0.94-1.82)</t>
  </si>
  <si>
    <t>1.73 (1.48-1.98)</t>
  </si>
  <si>
    <t>1.80 (1.59-2.01)</t>
  </si>
  <si>
    <t>1.69 (1.50-1.87)</t>
  </si>
  <si>
    <t>2.03 (1.77-2.28)</t>
  </si>
  <si>
    <t>1.68 (1.55-1.81)</t>
  </si>
  <si>
    <t>1.77 (1.60-1.94)</t>
  </si>
  <si>
    <t>1.73 (1.37-2.10)</t>
  </si>
  <si>
    <t>1.73 (1.51-1.94)</t>
  </si>
  <si>
    <t>1.81 (1.57-2.05)</t>
  </si>
  <si>
    <t>1.69 (1.43-1.94)</t>
  </si>
  <si>
    <t>1.69 (1.39-2.00)</t>
  </si>
  <si>
    <t>1.41 (1.07-1.75)</t>
  </si>
  <si>
    <t>1.63 (1.46-1.81)</t>
  </si>
  <si>
    <t>1.95 (1.77-2.13)</t>
  </si>
  <si>
    <t>1.65 (1.49-1.82)</t>
  </si>
  <si>
    <t>1.69 (1.51-1.87)</t>
  </si>
  <si>
    <t>1.72 (1.60-1.84)</t>
  </si>
  <si>
    <t>1.74 (1.62-1.85)</t>
  </si>
  <si>
    <t>1.64 (1.45-1.83)</t>
  </si>
  <si>
    <t>1.70 (1.58-1.81)</t>
  </si>
  <si>
    <t>1.75 (1.55-1.96)</t>
  </si>
  <si>
    <t>1.69 (1.57-1.80)</t>
  </si>
  <si>
    <t>1.78 (1.59-1.97)</t>
  </si>
  <si>
    <t>1.72 (1.61-1.83)</t>
  </si>
  <si>
    <t>1.67 (1.39-1.94)</t>
  </si>
  <si>
    <t>FLIC-IgA</t>
  </si>
  <si>
    <t>FLIC-IgG</t>
  </si>
  <si>
    <t>Abbreviations: Abs, absolute; EOT, end of treatment; mL, millilters; ng, nanograms; tx, treatment; Vit. D, vitamin D.</t>
  </si>
  <si>
    <t>No Vitamin D</t>
  </si>
  <si>
    <t>Calcium only</t>
  </si>
  <si>
    <t>Intake of red or processed meat, serv/d</t>
  </si>
  <si>
    <t>No calcium</t>
  </si>
  <si>
    <r>
      <t>∆ tx Year 1</t>
    </r>
    <r>
      <rPr>
        <b/>
        <vertAlign val="superscript"/>
        <sz val="12"/>
        <color theme="1"/>
        <rFont val="Times New Roman"/>
        <family val="1"/>
      </rPr>
      <t>d</t>
    </r>
  </si>
  <si>
    <r>
      <t>∆ tx EOT</t>
    </r>
    <r>
      <rPr>
        <b/>
        <vertAlign val="superscript"/>
        <sz val="12"/>
        <color theme="1"/>
        <rFont val="Times New Roman"/>
        <family val="1"/>
      </rPr>
      <t>e</t>
    </r>
  </si>
  <si>
    <t xml:space="preserve">Abbreviations: BMI, body mass index; d, day; FLIC, flagellin; IgA, immunoglobulin A; IgG, immunoglobulin G; IL-6, interleukin 6; IL-10, interleukin 10; LPS, </t>
  </si>
  <si>
    <t>lipopolysaccharide; No., number; NSAID, nonsteroidal anti-inflammatory drug; serv, servings; TNFA, tumor necrosis factors alpha; yrs, years.</t>
  </si>
  <si>
    <t>&lt;0.001</t>
  </si>
  <si>
    <r>
      <rPr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>Abs. Tx Year 1= Absolute treatment effect at year 1= ([treatment group year 1] − [treatment group baseline]) − ([placebo group year 1] − [placebo group baseline]).</t>
    </r>
  </si>
  <si>
    <r>
      <rPr>
        <vertAlign val="superscript"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∆ tx Year 1= Relative treatment effect at year 1= ([treatment group year 1]/[treatment group baseline])/([placebo group year 1]/[placebo group baseline]).</t>
    </r>
  </si>
  <si>
    <r>
      <rPr>
        <vertAlign val="superscript"/>
        <sz val="8"/>
        <color theme="1"/>
        <rFont val="Times New Roman"/>
        <family val="1"/>
      </rPr>
      <t>a</t>
    </r>
    <r>
      <rPr>
        <sz val="8"/>
        <color theme="1"/>
        <rFont val="Times New Roman"/>
        <family val="1"/>
      </rPr>
      <t>The unadjusted effect of treatment agent on blood vitamin D levels was modeled using mixed linear models.</t>
    </r>
  </si>
  <si>
    <r>
      <rPr>
        <vertAlign val="superscript"/>
        <sz val="8"/>
        <color theme="1"/>
        <rFont val="Times New Roman"/>
        <family val="1"/>
      </rPr>
      <t>b</t>
    </r>
    <r>
      <rPr>
        <sz val="8"/>
        <color theme="1"/>
        <rFont val="Times New Roman"/>
        <family val="1"/>
      </rPr>
      <t>Abs. Tx Year 1= Absolute treatment effect at year 1= ([treatment group year 1] − [treatment group baseline]) − ([placebo group year 1] − [placebo group baseline]).</t>
    </r>
  </si>
  <si>
    <r>
      <rPr>
        <vertAlign val="superscript"/>
        <sz val="8"/>
        <color theme="1"/>
        <rFont val="Times New Roman"/>
        <family val="1"/>
      </rPr>
      <t>c</t>
    </r>
    <r>
      <rPr>
        <sz val="8"/>
        <color theme="1"/>
        <rFont val="Times New Roman"/>
        <family val="1"/>
      </rPr>
      <t>Abs. Tx EOT= Absolute treatment effect at the end of treatment=  ([treatment group EOT] − [treatment group baseline]) − ([placebo group EOT] − [placebo group]).</t>
    </r>
  </si>
  <si>
    <r>
      <rPr>
        <vertAlign val="superscript"/>
        <sz val="8"/>
        <color theme="1"/>
        <rFont val="Times New Roman"/>
        <family val="1"/>
      </rPr>
      <t>d</t>
    </r>
    <r>
      <rPr>
        <sz val="8"/>
        <color theme="1"/>
        <rFont val="Times New Roman"/>
        <family val="1"/>
      </rPr>
      <t>∆ tx Year 1= Relative treatment effect at year 1= ([treatment group year 1]/[treatment group baseline])/([placebo group year 1]/[placebo group baseline]).</t>
    </r>
  </si>
  <si>
    <r>
      <rPr>
        <vertAlign val="superscript"/>
        <sz val="8"/>
        <color theme="1"/>
        <rFont val="Times New Roman"/>
        <family val="1"/>
      </rPr>
      <t>e</t>
    </r>
    <r>
      <rPr>
        <sz val="8"/>
        <color theme="1"/>
        <rFont val="Times New Roman"/>
        <family val="1"/>
      </rPr>
      <t>∆ tx EOT= Relative treatment effect at the end of treatment=  ([treatment group EOT]/[treatment group baseline])/([placebo group EOT]/[placebo group baseline]).</t>
    </r>
  </si>
  <si>
    <t>25(OH)-vitamin D, ng/mL</t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</si>
  <si>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The unadjusted effect of treatment agent on biomarker level was modeled using mixed linear models.</t>
    </r>
  </si>
  <si>
    <r>
      <rPr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Abs. Tx EOT= Absolute treatment effect at the end of treatment= ([treatment group EOT] − [treatment group baseline]) − ([placebo group EOT] − [placebo group]).</t>
    </r>
  </si>
  <si>
    <r>
      <rPr>
        <vertAlign val="superscript"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∆ tx EOT= Relative treatment effect at the end of treatment= ([treatment group EOT]/[treatment group baseline])/([placebo group EOT]/[placebo group baseline]).</t>
    </r>
  </si>
  <si>
    <r>
      <t>Abs. tx Year 1</t>
    </r>
    <r>
      <rPr>
        <b/>
        <vertAlign val="superscript"/>
        <sz val="12"/>
        <color theme="1"/>
        <rFont val="Times New Roman"/>
        <family val="1"/>
      </rPr>
      <t>b</t>
    </r>
  </si>
  <si>
    <r>
      <t>Abs. tx EOT</t>
    </r>
    <r>
      <rPr>
        <b/>
        <vertAlign val="superscript"/>
        <sz val="12"/>
        <color theme="1"/>
        <rFont val="Times New Roman"/>
        <family val="1"/>
      </rPr>
      <t>c</t>
    </r>
  </si>
  <si>
    <t>5.91 (0.31)</t>
  </si>
  <si>
    <t>5.79 (0.31)</t>
  </si>
  <si>
    <t>4.75 (0.31)</t>
  </si>
  <si>
    <t>0.03 (0.60)</t>
  </si>
  <si>
    <t>-0.29 (0.61)</t>
  </si>
  <si>
    <t>6.57 (0.30)</t>
  </si>
  <si>
    <t>6.42 (0.30)</t>
  </si>
  <si>
    <t>5.70 (0.30)</t>
  </si>
  <si>
    <t>5.69 (0.26)</t>
  </si>
  <si>
    <t>5.73 (0.27)</t>
  </si>
  <si>
    <t>4.97 (0.26)</t>
  </si>
  <si>
    <t>0.30 (0.51)</t>
  </si>
  <si>
    <t>0.04 (0.52)</t>
  </si>
  <si>
    <t>No vitamin D</t>
  </si>
  <si>
    <t>6.08 (0.26)</t>
  </si>
  <si>
    <t>5.82 (0.25)</t>
  </si>
  <si>
    <t>5.32 (0.25)</t>
  </si>
  <si>
    <t>Vit. D + calcium</t>
  </si>
  <si>
    <t>5.38 (0.30)</t>
  </si>
  <si>
    <t>5.37 (0.30)</t>
  </si>
  <si>
    <t>4.69 (0.30)</t>
  </si>
  <si>
    <t>0.13 (0.61)</t>
  </si>
  <si>
    <t>-0.07 (0.61)</t>
  </si>
  <si>
    <t>5.52 (0.32)</t>
  </si>
  <si>
    <t>5.38 (0.31)</t>
  </si>
  <si>
    <t>4.91 (0.31)</t>
  </si>
  <si>
    <t>6.24 (0.26)</t>
  </si>
  <si>
    <t>6.05 (0.26)</t>
  </si>
  <si>
    <t>5.50 (0.26)</t>
  </si>
  <si>
    <t>-0.29 (0.53)</t>
  </si>
  <si>
    <t>0.10 (0.54)</t>
  </si>
  <si>
    <t>6.29 (0.28)</t>
  </si>
  <si>
    <t>6.40 (0.28)</t>
  </si>
  <si>
    <t>5.46 (0.29)</t>
  </si>
  <si>
    <t>5.77 (0.24)</t>
  </si>
  <si>
    <t>5.87 (0.24)</t>
  </si>
  <si>
    <t>5.27 (0.24)</t>
  </si>
  <si>
    <t>0.17 (0.48)</t>
  </si>
  <si>
    <t>0.25 (0.48)</t>
  </si>
  <si>
    <t>6.17 (0.24)</t>
  </si>
  <si>
    <t>6.09 (0.24)</t>
  </si>
  <si>
    <t>5.42 (0.24)</t>
  </si>
  <si>
    <t>5.65 (0.29)</t>
  </si>
  <si>
    <t>5.67 (0.30)</t>
  </si>
  <si>
    <t>5.23 (0.29)</t>
  </si>
  <si>
    <t>0.13 (0.58)</t>
  </si>
  <si>
    <t>0.15 (0.57)</t>
  </si>
  <si>
    <t>5.90 (0.28)</t>
  </si>
  <si>
    <t>5.78 (0.29)</t>
  </si>
  <si>
    <t>5.33 (0.28)</t>
  </si>
  <si>
    <t>6.03 (0.27)</t>
  </si>
  <si>
    <t>5.92 (0.27)</t>
  </si>
  <si>
    <t>5.27 (0.27)</t>
  </si>
  <si>
    <t>0.09 (0.53)</t>
  </si>
  <si>
    <t>0.26 (0.53)</t>
  </si>
  <si>
    <t>6.53 (0.26)</t>
  </si>
  <si>
    <t>6.33 (0.26)</t>
  </si>
  <si>
    <t>5.51 (0.27)</t>
  </si>
  <si>
    <t>5.75 (0.21)</t>
  </si>
  <si>
    <t>5.80 (0.21)</t>
  </si>
  <si>
    <t>5.22 (0.21)</t>
  </si>
  <si>
    <t>0.31 (0.45)</t>
  </si>
  <si>
    <t>0.33 (0.45)</t>
  </si>
  <si>
    <t>6.05 (0.24)</t>
  </si>
  <si>
    <t>5.80 (0.24)</t>
  </si>
  <si>
    <t>5.18 (0.24)</t>
  </si>
  <si>
    <t>5.47 (0.25)</t>
  </si>
  <si>
    <t>5.51 (0.25)</t>
  </si>
  <si>
    <t>5.07 (0.25)</t>
  </si>
  <si>
    <t>0.15 (0.54)</t>
  </si>
  <si>
    <t>0.13 (0.54)</t>
  </si>
  <si>
    <t>5.52 (0.29)</t>
  </si>
  <si>
    <t>5.41 (0.29)</t>
  </si>
  <si>
    <t>4.98 (0.28)</t>
  </si>
  <si>
    <t>6.18 (0.30)</t>
  </si>
  <si>
    <t>5.96 (0.30)</t>
  </si>
  <si>
    <t>5.09 (0.30)</t>
  </si>
  <si>
    <t>-0.51 (0.62)</t>
  </si>
  <si>
    <t>-0.53 (0.62)</t>
  </si>
  <si>
    <t>6.25 (0.32)</t>
  </si>
  <si>
    <t>6.54 (0.32)</t>
  </si>
  <si>
    <t>5.69 (0.32)</t>
  </si>
  <si>
    <t>0.29 (0.46)</t>
  </si>
  <si>
    <t>-0.56 (0.46)</t>
  </si>
  <si>
    <t>5.68 (0.32)</t>
  </si>
  <si>
    <t>5.81 (0.32)</t>
  </si>
  <si>
    <t>4.94 (0.32)</t>
  </si>
  <si>
    <t>0.16 (0.58)</t>
  </si>
  <si>
    <t>-0.13 (0.58)</t>
  </si>
  <si>
    <t>6.22 (0.26)</t>
  </si>
  <si>
    <t>6.19 (0.26)</t>
  </si>
  <si>
    <t>5.62 (0.26)</t>
  </si>
  <si>
    <t>5.63 (0.38)</t>
  </si>
  <si>
    <t>5.55 (0.38)</t>
  </si>
  <si>
    <t>4.78 (0.38)</t>
  </si>
  <si>
    <t>0.08 (0.69)</t>
  </si>
  <si>
    <t>-0.20 (0.69)</t>
  </si>
  <si>
    <t>6.00 (0.31)</t>
  </si>
  <si>
    <t>5.85 (0.31)</t>
  </si>
  <si>
    <t>5.36 (0.31)</t>
  </si>
  <si>
    <t>6.01 (0.25)</t>
  </si>
  <si>
    <t>5.89 (0.25)</t>
  </si>
  <si>
    <t>5.05 (0.25)</t>
  </si>
  <si>
    <t>-0.13 (0.49)</t>
  </si>
  <si>
    <t>-0.15 (0.49)</t>
  </si>
  <si>
    <t>6.53 (0.24)</t>
  </si>
  <si>
    <t>5.71 (0.24)</t>
  </si>
  <si>
    <t>6.08 (0.23)</t>
  </si>
  <si>
    <t>6.17 (0.23)</t>
  </si>
  <si>
    <t>5.43 (0.23)</t>
  </si>
  <si>
    <t>0.26 (0.46)</t>
  </si>
  <si>
    <t>0.16 (0.46)</t>
  </si>
  <si>
    <t>5.92 (0.24)</t>
  </si>
  <si>
    <t>5.28 (0.24)</t>
  </si>
  <si>
    <t>6.03 (0.28)</t>
  </si>
  <si>
    <t>5.89 (0.28)</t>
  </si>
  <si>
    <t>5.21 (0.28)</t>
  </si>
  <si>
    <t>-0.17 (0.57)</t>
  </si>
  <si>
    <t>-0.36 (0.57)</t>
  </si>
  <si>
    <t>5.34 (0.30)</t>
  </si>
  <si>
    <t>5.38 (0.29)</t>
  </si>
  <si>
    <t>4.89 (0.29)</t>
  </si>
  <si>
    <t>6.21(0.31)</t>
  </si>
  <si>
    <t>6.01 (0.32)</t>
  </si>
  <si>
    <t>5.39 (0.32)</t>
  </si>
  <si>
    <t>-0.15 (0.69)</t>
  </si>
  <si>
    <t>0.13 (0.71)</t>
  </si>
  <si>
    <t>6.22 (0.37)</t>
  </si>
  <si>
    <t>6.18 (0.37)</t>
  </si>
  <si>
    <t>5.27 (0.40)</t>
  </si>
  <si>
    <t>5.27 (0.26)</t>
  </si>
  <si>
    <t>5.31 (0.26)</t>
  </si>
  <si>
    <t>4.70 (0.27)</t>
  </si>
  <si>
    <t>0.19 (0.52)</t>
  </si>
  <si>
    <t>0.11 (0.52)</t>
  </si>
  <si>
    <t>6.16 (0.25)</t>
  </si>
  <si>
    <t>5.49 (0.25)</t>
  </si>
  <si>
    <t>4.99 (0.30)</t>
  </si>
  <si>
    <t>5.12 (0.31)</t>
  </si>
  <si>
    <t>4.73 (0.31)</t>
  </si>
  <si>
    <t>0.38 (0.60)</t>
  </si>
  <si>
    <t>0.43 (0.59)</t>
  </si>
  <si>
    <t>6.05 (0.29)</t>
  </si>
  <si>
    <t>5.79 (0.29)</t>
  </si>
  <si>
    <t>5.82 (0.28)</t>
  </si>
  <si>
    <t>5.60 (0.28)</t>
  </si>
  <si>
    <t>5.04 (0.28)</t>
  </si>
  <si>
    <t>-0.32 (0.54)</t>
  </si>
  <si>
    <t>0.06 (0.54)</t>
  </si>
  <si>
    <t>6.64 (0.26)</t>
  </si>
  <si>
    <t>6.75 (0.26)</t>
  </si>
  <si>
    <t>5.80 (0.27)</t>
  </si>
  <si>
    <t>5.90 (0.27)</t>
  </si>
  <si>
    <t>5.17 (0.27)</t>
  </si>
  <si>
    <t>0.23 (0.50)</t>
  </si>
  <si>
    <t>0.15 (0.50)</t>
  </si>
  <si>
    <t>6.25 (0.23)</t>
  </si>
  <si>
    <t>6.11 (0.23)</t>
  </si>
  <si>
    <t>5.47 (0.23)</t>
  </si>
  <si>
    <t>5.44 (0.32)</t>
  </si>
  <si>
    <t>5.30 (0.32)</t>
  </si>
  <si>
    <t>4.93 (0.32)</t>
  </si>
  <si>
    <t>0.03 (0.59)</t>
  </si>
  <si>
    <t>0.15 (0.59)</t>
  </si>
  <si>
    <t>5.76 (0.26)</t>
  </si>
  <si>
    <t>5.59 (0.27)</t>
  </si>
  <si>
    <t>5.09 (0.26)</t>
  </si>
  <si>
    <t>6.37 (0.28)</t>
  </si>
  <si>
    <t>5.35 (0.28)</t>
  </si>
  <si>
    <t>0.07 (0.58)</t>
  </si>
  <si>
    <t>-0.18 (0.59)</t>
  </si>
  <si>
    <t>6.15 (0.30)</t>
  </si>
  <si>
    <t>5.98 (0.30)</t>
  </si>
  <si>
    <t>5.31 (0.31)</t>
  </si>
  <si>
    <t>5.68 (0.23)</t>
  </si>
  <si>
    <t>5.74 (0.23)</t>
  </si>
  <si>
    <t>5.10 (0.24)</t>
  </si>
  <si>
    <t>0.24 (0.50)</t>
  </si>
  <si>
    <t>0.13 (0.50)</t>
  </si>
  <si>
    <t>5.95 (0.27)</t>
  </si>
  <si>
    <t>5.77 (0.27)</t>
  </si>
  <si>
    <t>5.24 (0.27)</t>
  </si>
  <si>
    <t>5.56 (0.28)</t>
  </si>
  <si>
    <t>5.65 (0.28)</t>
  </si>
  <si>
    <t>5.01 (0.28)</t>
  </si>
  <si>
    <t>0.17 (0.61)</t>
  </si>
  <si>
    <t>-0.05 (0.61)</t>
  </si>
  <si>
    <t>5.71 (0.34)</t>
  </si>
  <si>
    <t>5.63 (0.33)</t>
  </si>
  <si>
    <t>5.21 (0.33)</t>
  </si>
  <si>
    <r>
      <t>LPS</t>
    </r>
    <r>
      <rPr>
        <b/>
        <vertAlign val="superscript"/>
        <sz val="12"/>
        <color theme="1"/>
        <rFont val="Times New Roman"/>
        <family val="1"/>
      </rPr>
      <t>g</t>
    </r>
  </si>
  <si>
    <t>2.53 (0.16)</t>
  </si>
  <si>
    <t>2.47 (0.16)</t>
  </si>
  <si>
    <t>1.97 (0.16)</t>
  </si>
  <si>
    <t>-0.02 (0.31)</t>
  </si>
  <si>
    <t>-0.14 (0.31)</t>
  </si>
  <si>
    <t>2.79 (0.15)</t>
  </si>
  <si>
    <t>2.76 (0.15)</t>
  </si>
  <si>
    <t>2.38 (0.15)</t>
  </si>
  <si>
    <t>2.37 (0.13)</t>
  </si>
  <si>
    <t>2.43 (0.13)</t>
  </si>
  <si>
    <t>2.09 (0.13)</t>
  </si>
  <si>
    <t>0.21 (0.26)</t>
  </si>
  <si>
    <t>2.65 (0.13)</t>
  </si>
  <si>
    <t>2.50 (0.13)</t>
  </si>
  <si>
    <t>2.26 (0.13)</t>
  </si>
  <si>
    <t>2.23 (0.16)</t>
  </si>
  <si>
    <t>2.24 (0.16)</t>
  </si>
  <si>
    <t>0.13 (0.32)</t>
  </si>
  <si>
    <t>0.05 (0.33)</t>
  </si>
  <si>
    <t>2.45 (0.17)</t>
  </si>
  <si>
    <t>2.33 (0.16)</t>
  </si>
  <si>
    <t>2.74 (0.15)</t>
  </si>
  <si>
    <t>2.66 (0.15)</t>
  </si>
  <si>
    <t>-0.11 (0.31)</t>
  </si>
  <si>
    <t>0.02 (0.32)</t>
  </si>
  <si>
    <t>2.80 (0.16)</t>
  </si>
  <si>
    <t>2.83 (0.16)</t>
  </si>
  <si>
    <t>2.43 (0.17)</t>
  </si>
  <si>
    <t>2.51 (0.13)</t>
  </si>
  <si>
    <t>2.57 (0.14)</t>
  </si>
  <si>
    <t>2.29 (0.14)</t>
  </si>
  <si>
    <t>0.09 (0.27)</t>
  </si>
  <si>
    <t>0.12 (0.27)</t>
  </si>
  <si>
    <t>2.73 (0.14)</t>
  </si>
  <si>
    <t>2.69 (0.14)</t>
  </si>
  <si>
    <t>2.39 (0.14)</t>
  </si>
  <si>
    <t>2.36 (0.16)</t>
  </si>
  <si>
    <t>2.37 (0.16)</t>
  </si>
  <si>
    <t>2.17 (0.16)</t>
  </si>
  <si>
    <t>0.04 (0.32)</t>
  </si>
  <si>
    <t>0.06 (0.32)</t>
  </si>
  <si>
    <t>2.66 (0.16)</t>
  </si>
  <si>
    <t>2.63 (0.16)</t>
  </si>
  <si>
    <t>2.58 (0.14)</t>
  </si>
  <si>
    <t>2.54 (0.14)</t>
  </si>
  <si>
    <t>2.24 (0.15)</t>
  </si>
  <si>
    <t>0.13 (0.29)</t>
  </si>
  <si>
    <t>2.89 (0.14)</t>
  </si>
  <si>
    <t>2.79 (0.14)</t>
  </si>
  <si>
    <t>2.46 (0.11)</t>
  </si>
  <si>
    <t>2.24 (0.11)</t>
  </si>
  <si>
    <t>0.20 (0.24)</t>
  </si>
  <si>
    <t>0.19 (0.24)</t>
  </si>
  <si>
    <t>2.64 (0.13)</t>
  </si>
  <si>
    <t>2.49 (0.13)</t>
  </si>
  <si>
    <t>2.23 (0.13)</t>
  </si>
  <si>
    <t>2.07 (0.13)</t>
  </si>
  <si>
    <t>0.11 (0.28)</t>
  </si>
  <si>
    <t>0.09 (0.28)</t>
  </si>
  <si>
    <t>2.47 (0.15)</t>
  </si>
  <si>
    <t>2.39 (0.15)</t>
  </si>
  <si>
    <t>2.22 (0.15)</t>
  </si>
  <si>
    <t>2.74 (0.17)</t>
  </si>
  <si>
    <t>2.63 (0.17)</t>
  </si>
  <si>
    <t>2.19 (0.17)</t>
  </si>
  <si>
    <t>-0.25 (0.36)</t>
  </si>
  <si>
    <t>-0.29 (0.36)</t>
  </si>
  <si>
    <t>2.66 (0.19)</t>
  </si>
  <si>
    <t>2.80 (0.19)</t>
  </si>
  <si>
    <t>2.40 (0.19)</t>
  </si>
  <si>
    <t>2.42 (0.18)</t>
  </si>
  <si>
    <t>2.51 (0.18)</t>
  </si>
  <si>
    <t>2.11 (0.18)</t>
  </si>
  <si>
    <t>0.09 (0.33)</t>
  </si>
  <si>
    <t>-0.01 (0.33)</t>
  </si>
  <si>
    <t>2.75 (0.15)</t>
  </si>
  <si>
    <t>2.45 (0.15)</t>
  </si>
  <si>
    <t>2.47 (0.22)</t>
  </si>
  <si>
    <t>2.43 (0.22)</t>
  </si>
  <si>
    <t>2.09 (0.22)</t>
  </si>
  <si>
    <t>0.02 (0.40)</t>
  </si>
  <si>
    <t>-0.05 (0.40)</t>
  </si>
  <si>
    <t>2.69 (0.18)</t>
  </si>
  <si>
    <t>2.63 (0.18)</t>
  </si>
  <si>
    <t>2.37 (0.18)</t>
  </si>
  <si>
    <t>2.59 (0.14)</t>
  </si>
  <si>
    <t>2.13 (0.14)</t>
  </si>
  <si>
    <t>-0.05 (0.28)</t>
  </si>
  <si>
    <t>-0.08 (0.28)</t>
  </si>
  <si>
    <t>2.82 (0.13)</t>
  </si>
  <si>
    <t>2.45 (0.13)</t>
  </si>
  <si>
    <t>2.57 (0.12)</t>
  </si>
  <si>
    <t>2.65 (0.12)</t>
  </si>
  <si>
    <t>2.34 (0.12)</t>
  </si>
  <si>
    <t>0.22 (0.25)</t>
  </si>
  <si>
    <t>0.23 (0.25)</t>
  </si>
  <si>
    <t>2.60 (0.13)</t>
  </si>
  <si>
    <t>2.30 (0.13)</t>
  </si>
  <si>
    <t>2.51 (0.16)</t>
  </si>
  <si>
    <t>2.49 (0.16)</t>
  </si>
  <si>
    <t>2.20 (0.16)</t>
  </si>
  <si>
    <t>0.03 (0.33)</t>
  </si>
  <si>
    <t>-0.04 (0.33)</t>
  </si>
  <si>
    <t>2.50 (0.17)</t>
  </si>
  <si>
    <t>2.23 (0.17)</t>
  </si>
  <si>
    <t>2.73 (0.18)</t>
  </si>
  <si>
    <t>2.32 (0.18)</t>
  </si>
  <si>
    <t>-0.10 (0.39)</t>
  </si>
  <si>
    <t>2.75 (0.21)</t>
  </si>
  <si>
    <t>2.32 (0.22)</t>
  </si>
  <si>
    <t>2.30 (0.14)</t>
  </si>
  <si>
    <t>2.31 (0.14)</t>
  </si>
  <si>
    <t>2.00 (0.15)</t>
  </si>
  <si>
    <t>0.04 (0.28)</t>
  </si>
  <si>
    <t>-0.03 (0.28)</t>
  </si>
  <si>
    <t>2.63 (0.14)</t>
  </si>
  <si>
    <t>2.60 (0.14)</t>
  </si>
  <si>
    <t>2.36 (0.14)</t>
  </si>
  <si>
    <t>2.08 (0.16)</t>
  </si>
  <si>
    <t>2.12 (0.16)</t>
  </si>
  <si>
    <t>1.94 (0.16)</t>
  </si>
  <si>
    <t>0.15 (0.31)</t>
  </si>
  <si>
    <t>2.62 (0.15)</t>
  </si>
  <si>
    <t>2.54 (0.15)</t>
  </si>
  <si>
    <t>2.55 (0.16)</t>
  </si>
  <si>
    <t>2.45 (0.16)</t>
  </si>
  <si>
    <t>-0.14 (0.32)</t>
  </si>
  <si>
    <t>0.01 (0.32)</t>
  </si>
  <si>
    <t>2.94 (0.16)</t>
  </si>
  <si>
    <t>2.50 (0.15)</t>
  </si>
  <si>
    <t>2.56 (0.15)</t>
  </si>
  <si>
    <t>0.16 (0.29)</t>
  </si>
  <si>
    <t>0.11 (0.29)</t>
  </si>
  <si>
    <t>2.74 (0.13)</t>
  </si>
  <si>
    <t>2.35 (0.13)</t>
  </si>
  <si>
    <t>2.22 (0.18)</t>
  </si>
  <si>
    <t>2.17 (0.18)</t>
  </si>
  <si>
    <t>1.98 (0.18)</t>
  </si>
  <si>
    <t>0.06 (0.34)</t>
  </si>
  <si>
    <t>0.10 (0.33)</t>
  </si>
  <si>
    <t>2.60 (0.15)</t>
  </si>
  <si>
    <t>2.26 (0.15)</t>
  </si>
  <si>
    <t>2.70 (0.15)</t>
  </si>
  <si>
    <t>0.02 (0.31)</t>
  </si>
  <si>
    <t>-0.09 (0.31)</t>
  </si>
  <si>
    <t>2.68 (0.16)</t>
  </si>
  <si>
    <t>2.28 (0.16)</t>
  </si>
  <si>
    <t>2.42 (0.12)</t>
  </si>
  <si>
    <t>2.46 (0.12)</t>
  </si>
  <si>
    <t>2.19 (0.12)</t>
  </si>
  <si>
    <t>0.13 (0.26)</t>
  </si>
  <si>
    <t>2.35 (0.15)</t>
  </si>
  <si>
    <t>0.08 (0.32)</t>
  </si>
  <si>
    <t>-0.002 (0.32)</t>
  </si>
  <si>
    <t>2.53 (0.18)</t>
  </si>
  <si>
    <t>2.32 (0.17)</t>
  </si>
  <si>
    <r>
      <t>FLIC</t>
    </r>
    <r>
      <rPr>
        <b/>
        <vertAlign val="superscript"/>
        <sz val="12"/>
        <color theme="1"/>
        <rFont val="Times New Roman"/>
        <family val="1"/>
      </rPr>
      <t>g</t>
    </r>
  </si>
  <si>
    <t>3.38 (0.17)</t>
  </si>
  <si>
    <t>3.32 (0.17)</t>
  </si>
  <si>
    <t>2.78 (0.17)</t>
  </si>
  <si>
    <t>0.06 (0.33)</t>
  </si>
  <si>
    <t>-0.14 (0.33)</t>
  </si>
  <si>
    <t>3.78 (0.16)</t>
  </si>
  <si>
    <t>3.67 (0.16)</t>
  </si>
  <si>
    <t>3.32 (0.16)</t>
  </si>
  <si>
    <t>3.31 (0.14)</t>
  </si>
  <si>
    <t>3.30 (0.14)</t>
  </si>
  <si>
    <t>2.88 (0.15)</t>
  </si>
  <si>
    <t>0.09 (0.29)</t>
  </si>
  <si>
    <t>-0.06 (0.29)</t>
  </si>
  <si>
    <t>3.43 (0.14)</t>
  </si>
  <si>
    <t>3.32 (0.14)</t>
  </si>
  <si>
    <t>3.06 (0.14)</t>
  </si>
  <si>
    <t>3.14 (0.16)</t>
  </si>
  <si>
    <t>3.12 (0.16)</t>
  </si>
  <si>
    <t>2.73 (0.17)</t>
  </si>
  <si>
    <t>0.003 (0.33)</t>
  </si>
  <si>
    <t>-0.12 (0.34)</t>
  </si>
  <si>
    <t>3.07 (0.17)</t>
  </si>
  <si>
    <t>3.05 (0.17)</t>
  </si>
  <si>
    <t>3.50 (0.13)</t>
  </si>
  <si>
    <t>3.39 (0.13)</t>
  </si>
  <si>
    <t>3.12 (0.13)</t>
  </si>
  <si>
    <t>-0.19 (0.27)</t>
  </si>
  <si>
    <t>0.08 (0.27)</t>
  </si>
  <si>
    <t>3.49 (0.14)</t>
  </si>
  <si>
    <t>3.57 (0.14)</t>
  </si>
  <si>
    <t>3.25 (0.12)</t>
  </si>
  <si>
    <t>3.30 (0.13)</t>
  </si>
  <si>
    <t>2.97 (0.13)</t>
  </si>
  <si>
    <t>0.09 (0.25)</t>
  </si>
  <si>
    <t>0.13 (0.25)</t>
  </si>
  <si>
    <t>3.44 (0.13)</t>
  </si>
  <si>
    <t>3.40 (0.13)</t>
  </si>
  <si>
    <t>3.29 (0.16)</t>
  </si>
  <si>
    <t>3.06 (0.16)</t>
  </si>
  <si>
    <t>0.09 (0.31)</t>
  </si>
  <si>
    <t>3.15 (0.15)</t>
  </si>
  <si>
    <t>0.04 (0.29)</t>
  </si>
  <si>
    <t>3.65 (0.14)</t>
  </si>
  <si>
    <t>3.54 (0.14)</t>
  </si>
  <si>
    <t>3.10 (0.15)</t>
  </si>
  <si>
    <t>3.29 (0.12)</t>
  </si>
  <si>
    <t>3.30 (0.12)</t>
  </si>
  <si>
    <t>2.98 (0.12)</t>
  </si>
  <si>
    <t>0.12 (0.25)</t>
  </si>
  <si>
    <t>0.14 (0.25)</t>
  </si>
  <si>
    <t>3.24 (0.14)</t>
  </si>
  <si>
    <t>3.25 (0.14)</t>
  </si>
  <si>
    <t>3.00 (0.14)</t>
  </si>
  <si>
    <t>0.05 (0.30)</t>
  </si>
  <si>
    <t>3.05 (0.16)</t>
  </si>
  <si>
    <t>3.01 (0.16)</t>
  </si>
  <si>
    <t>2.76 (0.16)</t>
  </si>
  <si>
    <t>3.44 (0.14)</t>
  </si>
  <si>
    <t>3.33 (0.14)</t>
  </si>
  <si>
    <t>2.91 (0.14)</t>
  </si>
  <si>
    <t>-0.25 (0.30)</t>
  </si>
  <si>
    <t>-0.24 (0.30)</t>
  </si>
  <si>
    <t>3.60 (0.16)</t>
  </si>
  <si>
    <t>3.74 (0.16)</t>
  </si>
  <si>
    <t>3.25 (0.16)</t>
  </si>
  <si>
    <t>3.31 (0.16)</t>
  </si>
  <si>
    <t>-0.13 (0.29)</t>
  </si>
  <si>
    <t>3.47 (0.13)</t>
  </si>
  <si>
    <t>3.45 (0.13)</t>
  </si>
  <si>
    <t>3.17 (0.13)</t>
  </si>
  <si>
    <t>3.16 (0.19)</t>
  </si>
  <si>
    <t>3.12 (0.19)</t>
  </si>
  <si>
    <t>2.68 (0.19)</t>
  </si>
  <si>
    <t>0.05 (0.35)</t>
  </si>
  <si>
    <t>-0.15 (0.35)</t>
  </si>
  <si>
    <t>3.22 (0.16)</t>
  </si>
  <si>
    <t>2.99 (0.16)</t>
  </si>
  <si>
    <t>3.42 (0.13)</t>
  </si>
  <si>
    <t>3.35 (0.13)</t>
  </si>
  <si>
    <t>2.91 (0.13)</t>
  </si>
  <si>
    <t>-0.08 (0.26)</t>
  </si>
  <si>
    <t>-0.07 (0.26)</t>
  </si>
  <si>
    <t>3.71 (0.13)</t>
  </si>
  <si>
    <t>3.52 (0.12)</t>
  </si>
  <si>
    <t>3.09 (0.12)</t>
  </si>
  <si>
    <t>-0.06 (0.25)</t>
  </si>
  <si>
    <t>3.32 (0.13)</t>
  </si>
  <si>
    <t>2.98 (0.13)</t>
  </si>
  <si>
    <t>3.52 (0.15)</t>
  </si>
  <si>
    <t>3.01 (0.15)</t>
  </si>
  <si>
    <t>-0.20 (0.30)</t>
  </si>
  <si>
    <t>-0.31 (0.30)</t>
  </si>
  <si>
    <t>2.84 (0.16)</t>
  </si>
  <si>
    <t>2.65 (0.15)</t>
  </si>
  <si>
    <t>3.48 (0.17)</t>
  </si>
  <si>
    <t>-0.06 (0.36)</t>
  </si>
  <si>
    <t>0.09 (0.37)</t>
  </si>
  <si>
    <t>3.47 (0.19)</t>
  </si>
  <si>
    <t>3.42 (0.19)</t>
  </si>
  <si>
    <t>2.95 (0.21)</t>
  </si>
  <si>
    <t>2.97 (0.14)</t>
  </si>
  <si>
    <t>2.71 (0.15)</t>
  </si>
  <si>
    <t>0.15 (0.28)</t>
  </si>
  <si>
    <t>0.14 (0.28)</t>
  </si>
  <si>
    <t>3.53 (0.13)</t>
  </si>
  <si>
    <t>3.41 (0.14)</t>
  </si>
  <si>
    <t>3.12 (0.14)</t>
  </si>
  <si>
    <t>2.91 (0.16)</t>
  </si>
  <si>
    <t>3.00 (0.17)</t>
  </si>
  <si>
    <t>2.79 (0.17)</t>
  </si>
  <si>
    <t>0.26 (0.32)</t>
  </si>
  <si>
    <t>0.28 (0.32)</t>
  </si>
  <si>
    <t>3.26 (0.16)</t>
  </si>
  <si>
    <t>3.15 (0.13)</t>
  </si>
  <si>
    <t>2.86 (0.13)</t>
  </si>
  <si>
    <t>-0.18 (0.26)</t>
  </si>
  <si>
    <t>0.05 (0.26)</t>
  </si>
  <si>
    <t>3.75 (0.13)</t>
  </si>
  <si>
    <t>3.80 (0.13)</t>
  </si>
  <si>
    <t>3.29 (0.13)</t>
  </si>
  <si>
    <t>3.33 (0.13)</t>
  </si>
  <si>
    <t>2.96 (0.14)</t>
  </si>
  <si>
    <t>0.08 (0.25)</t>
  </si>
  <si>
    <t>0.05 (0.25)</t>
  </si>
  <si>
    <t>3.51 (0.12)</t>
  </si>
  <si>
    <t>3.46 (0.12)</t>
  </si>
  <si>
    <t>3.12 (0.12)</t>
  </si>
  <si>
    <t>3.13 (0.16)</t>
  </si>
  <si>
    <t>2.95 (0.16)</t>
  </si>
  <si>
    <t>-0.02 (0.30)</t>
  </si>
  <si>
    <t>3.16 (0.13)</t>
  </si>
  <si>
    <t>3.09 (0.14)</t>
  </si>
  <si>
    <t>2.84 (0.13)</t>
  </si>
  <si>
    <t>3.62 (0.16)</t>
  </si>
  <si>
    <t>3.57 (0.16)</t>
  </si>
  <si>
    <t>3.09 (0.16)</t>
  </si>
  <si>
    <t>-0.09 (0.33)</t>
  </si>
  <si>
    <t>3.47 (0.17)</t>
  </si>
  <si>
    <t>3.37 (0.17)</t>
  </si>
  <si>
    <t>3.03 (0.17)</t>
  </si>
  <si>
    <t>0.02 (0.29)</t>
  </si>
  <si>
    <t>3.33 (0.16)</t>
  </si>
  <si>
    <t>3.23 (0.15)</t>
  </si>
  <si>
    <t>2.95 (0.15)</t>
  </si>
  <si>
    <t>2.88 (0.16)</t>
  </si>
  <si>
    <t>0.09 (0.35)</t>
  </si>
  <si>
    <t>-0.05 (0.35)</t>
  </si>
  <si>
    <t>3.18 (0.19)</t>
  </si>
  <si>
    <t>3.13 (0.18)</t>
  </si>
  <si>
    <t>2.89 (0.18)</t>
  </si>
  <si>
    <t xml:space="preserve">Abbreviations: BMI, body mass index; d, day; FLIC, flagellin; LPS, lipopolysaccharide; mg, milligram; mL, millilters; ng, nanograms; no. number; NSAID, nonsteroidal </t>
  </si>
  <si>
    <t>anti-inflammatory drug.</t>
  </si>
  <si>
    <r>
      <t>a</t>
    </r>
    <r>
      <rPr>
        <sz val="12"/>
        <color theme="1"/>
        <rFont val="Times New Roman"/>
        <family val="1"/>
      </rPr>
      <t>Stratified by median levels of BMI, aspirin use, calcium intake, and vitamin d intake.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</si>
  <si>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Abs. tx Year 1= Absolute treatment effect at year 1= ([treatment group year 1] – [treatment group baseline]) – ([placebo group year 1] – [placebo group baseline]).</t>
    </r>
  </si>
  <si>
    <r>
      <rPr>
        <vertAlign val="super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>Abs. tx EOT= Absolute treatment effect at the end of treatment= ([treatment group EOT] – [treatment group baseline]) – ([placebo group EOT] – [placebo group baseline]).</t>
    </r>
  </si>
  <si>
    <r>
      <rPr>
        <vertAlign val="superscript"/>
        <sz val="12"/>
        <color theme="1"/>
        <rFont val="Times New Roman"/>
        <family val="1"/>
      </rPr>
      <t>d</t>
    </r>
    <r>
      <rPr>
        <sz val="12"/>
        <color theme="1"/>
        <rFont val="Times New Roman"/>
        <family val="1"/>
      </rPr>
      <t>∆ tx Year 1= Relative treatment effect at year 1= ([treatment group year 1] / [treatment group baseline]) / ([placebo group year 1] / [placebo group baseline]).</t>
    </r>
  </si>
  <si>
    <r>
      <rPr>
        <vertAlign val="superscript"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>∆ tx EOT= Relative treatment effect at the end of treatment= ([treatment group EOT] / [treatment group baseline]) / ([placebo group EOT] / [placebo group baseline]).</t>
    </r>
  </si>
  <si>
    <r>
      <rPr>
        <vertAlign val="superscript"/>
        <sz val="12"/>
        <color theme="1"/>
        <rFont val="Times New Roman"/>
        <family val="1"/>
      </rPr>
      <t>f</t>
    </r>
    <r>
      <rPr>
        <sz val="12"/>
        <color theme="1"/>
        <rFont val="Times New Roman"/>
        <family val="1"/>
      </rPr>
      <t>Permeability score= (flagellin IgA + flagellin IgG + LPS IgA + LPS IgG).</t>
    </r>
  </si>
  <si>
    <r>
      <rPr>
        <vertAlign val="superscript"/>
        <sz val="12"/>
        <color theme="1"/>
        <rFont val="Times New Roman"/>
        <family val="1"/>
      </rPr>
      <t>g</t>
    </r>
    <r>
      <rPr>
        <sz val="12"/>
        <color theme="1"/>
        <rFont val="Times New Roman"/>
        <family val="1"/>
      </rPr>
      <t>LPS= (LPS IgA + LPS IgG); FLIC= (flagellin IgA + flagellin IgG)</t>
    </r>
  </si>
  <si>
    <t>&lt; 723.3 mg/d</t>
  </si>
  <si>
    <t xml:space="preserve"> ≥ 723.3 mg/d</t>
  </si>
  <si>
    <t>≥ 4/week</t>
  </si>
  <si>
    <t>&lt; 4/week</t>
  </si>
  <si>
    <t xml:space="preserve"> ≥ 28.50</t>
  </si>
  <si>
    <t>&lt;28.50</t>
  </si>
  <si>
    <t>Stratified by baseline 25-(OH)-vitamin D concentrations (median)</t>
  </si>
  <si>
    <t>&lt;  21.60 ng/mL</t>
  </si>
  <si>
    <t xml:space="preserve"> ≥  21.60 ng/mL</t>
  </si>
  <si>
    <r>
      <t>Stratified by baseline BMI (median; kg/m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</si>
  <si>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t>Stratified by baseline regular aspirin use</t>
  </si>
  <si>
    <t>Stratified by baseline total calcium intake (median; dietary + supplements)</t>
  </si>
  <si>
    <r>
      <rPr>
        <b/>
        <sz val="12"/>
        <color theme="1"/>
        <rFont val="Times New Roman"/>
        <family val="1"/>
      </rPr>
      <t>Supplementary Table 4:</t>
    </r>
    <r>
      <rPr>
        <sz val="12"/>
        <color theme="1"/>
        <rFont val="Times New Roman"/>
        <family val="1"/>
      </rPr>
      <t xml:space="preserve"> Effects of calcium and/or vitamin D supplementation on plasma concentration of gut barrier biomarkers in the adjunct biomarker study stratified by baseline characteristics </t>
    </r>
  </si>
  <si>
    <r>
      <rPr>
        <b/>
        <sz val="12"/>
        <color theme="1"/>
        <rFont val="Times New Roman"/>
        <family val="1"/>
      </rPr>
      <t>Supplementary Table 3:</t>
    </r>
    <r>
      <rPr>
        <sz val="12"/>
        <color theme="1"/>
        <rFont val="Times New Roman"/>
        <family val="1"/>
      </rPr>
      <t xml:space="preserve"> Effects of calcium and/or vitamin D supplementation on plasma concentration of gut barrier biomarkers according to treatment assignment</t>
    </r>
    <r>
      <rPr>
        <vertAlign val="superscript"/>
        <sz val="12"/>
        <color theme="1"/>
        <rFont val="Times New Roman"/>
        <family val="1"/>
      </rPr>
      <t>a</t>
    </r>
  </si>
  <si>
    <r>
      <rPr>
        <b/>
        <sz val="12"/>
        <color theme="1"/>
        <rFont val="Times New Roman"/>
        <family val="1"/>
      </rPr>
      <t xml:space="preserve">Supplementary Table 5: </t>
    </r>
    <r>
      <rPr>
        <sz val="12"/>
        <color theme="1"/>
        <rFont val="Times New Roman"/>
        <family val="1"/>
      </rPr>
      <t xml:space="preserve">Mean baseline plasma levels of gut permeability biomarkers by demographic and lifestyle characteristics of study participants </t>
    </r>
    <r>
      <rPr>
        <vertAlign val="superscript"/>
        <sz val="12"/>
        <color theme="1"/>
        <rFont val="Times New Roman"/>
        <family val="1"/>
      </rPr>
      <t>a</t>
    </r>
  </si>
  <si>
    <r>
      <t xml:space="preserve">Supplementary Table 1: </t>
    </r>
    <r>
      <rPr>
        <sz val="12"/>
        <color theme="1"/>
        <rFont val="Times New Roman"/>
        <family val="1"/>
      </rPr>
      <t>Blood 25-(OH)-Vitamin D Concentrations at baseline, year 1, and end of treatment according to treatment group assignment</t>
    </r>
    <r>
      <rPr>
        <vertAlign val="superscript"/>
        <sz val="12"/>
        <color theme="1"/>
        <rFont val="Times New Roman"/>
        <family val="1"/>
      </rPr>
      <t>a</t>
    </r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</si>
  <si>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The effect of treatment agent on biomarker level was modeled using mixed linear models.</t>
    </r>
  </si>
  <si>
    <r>
      <rPr>
        <b/>
        <sz val="12"/>
        <color theme="1"/>
        <rFont val="Times New Roman"/>
        <family val="1"/>
      </rPr>
      <t>Supplementary Table 2:</t>
    </r>
    <r>
      <rPr>
        <sz val="12"/>
        <color theme="1"/>
        <rFont val="Times New Roman"/>
        <family val="1"/>
      </rPr>
      <t xml:space="preserve"> Effects of calcium and/or vitamin D supplementation on plasma concentration of gut barrier biomarkers at year 1 and  end of treatment in the adjunct biomarker study participants (n = 175)</t>
    </r>
    <r>
      <rPr>
        <vertAlign val="superscript"/>
        <sz val="12"/>
        <color theme="1"/>
        <rFont val="Times New Roman"/>
        <family val="1"/>
      </rPr>
      <t>a</t>
    </r>
  </si>
  <si>
    <r>
      <t>f</t>
    </r>
    <r>
      <rPr>
        <sz val="10"/>
        <color rgb="FF000000"/>
        <rFont val="Times New Roman"/>
        <family val="1"/>
      </rPr>
      <t>Permeability score = (flagellin IgA + flagellin IgG + LPS IgA + LPS IgG).</t>
    </r>
  </si>
  <si>
    <r>
      <t>g</t>
    </r>
    <r>
      <rPr>
        <sz val="10"/>
        <color rgb="FF000000"/>
        <rFont val="Times New Roman"/>
        <family val="1"/>
      </rPr>
      <t>LPS = (LPS IgA + LPS IgG); FLIC = (flagellin IgA + flagellin IgG); IgG = (flagellin IgG + LPS IgG); IgA = (flagellin IgA + LPS IgA).</t>
    </r>
  </si>
  <si>
    <r>
      <t>Permeability Score</t>
    </r>
    <r>
      <rPr>
        <b/>
        <vertAlign val="superscript"/>
        <sz val="12"/>
        <color theme="1"/>
        <rFont val="Times New Roman"/>
        <family val="1"/>
      </rPr>
      <t>f</t>
    </r>
  </si>
  <si>
    <r>
      <t>IgG</t>
    </r>
    <r>
      <rPr>
        <b/>
        <vertAlign val="superscript"/>
        <sz val="12"/>
        <color theme="1"/>
        <rFont val="Times New Roman"/>
        <family val="1"/>
      </rPr>
      <t>g</t>
    </r>
  </si>
  <si>
    <r>
      <t>IgA</t>
    </r>
    <r>
      <rPr>
        <b/>
        <vertAlign val="superscript"/>
        <sz val="12"/>
        <color theme="1"/>
        <rFont val="Times New Roman"/>
        <family val="1"/>
      </rPr>
      <t>g</t>
    </r>
  </si>
  <si>
    <t>Regular NSAID and/or aspirin use (≥ 4 times/week)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</si>
</sst>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0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424242"/>
      <name val="Times New Roman"/>
      <family val="1"/>
    </font>
    <font>
      <i/>
      <sz val="10"/>
      <color rgb="FF424242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424242"/>
      <name val="Times New Roman"/>
      <family val="1"/>
    </font>
    <font>
      <sz val="12"/>
      <color rgb="FF424242"/>
      <name val="Times New Roman"/>
      <family val="1"/>
    </font>
    <font>
      <sz val="11"/>
      <color rgb="FF9C0006"/>
      <name val="Calibri"/>
      <family val="2"/>
      <scheme val="minor"/>
    </font>
    <font>
      <b/>
      <sz val="8.4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8.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rgb="FF9C0006"/>
      <name val="Times New Roman"/>
      <family val="1"/>
    </font>
    <font>
      <i/>
      <vertAlign val="superscript"/>
      <sz val="12"/>
      <color theme="1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2" borderId="0" applyNumberFormat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1" fillId="3" borderId="1" xfId="0" applyFont="1" applyFill="1" applyBorder="1"/>
    <xf numFmtId="0" fontId="5" fillId="3" borderId="1" xfId="0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/>
    <xf numFmtId="0" fontId="11" fillId="3" borderId="0" xfId="0" applyFont="1" applyFill="1"/>
    <xf numFmtId="0" fontId="6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 indent="1"/>
    </xf>
    <xf numFmtId="2" fontId="6" fillId="3" borderId="0" xfId="0" applyNumberFormat="1" applyFont="1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2" fontId="1" fillId="3" borderId="0" xfId="0" quotePrefix="1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 indent="1"/>
    </xf>
    <xf numFmtId="0" fontId="6" fillId="3" borderId="0" xfId="0" applyFont="1" applyFill="1"/>
    <xf numFmtId="0" fontId="12" fillId="3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quotePrefix="1" applyFont="1" applyFill="1" applyBorder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0" fontId="1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/>
    <xf numFmtId="0" fontId="0" fillId="3" borderId="0" xfId="0" applyFill="1" applyAlignment="1">
      <alignment horizontal="center"/>
    </xf>
    <xf numFmtId="0" fontId="4" fillId="3" borderId="0" xfId="0" applyFont="1" applyFill="1"/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indent="2"/>
    </xf>
    <xf numFmtId="0" fontId="1" fillId="3" borderId="0" xfId="1" quotePrefix="1" applyFont="1" applyFill="1" applyAlignment="1">
      <alignment horizontal="center"/>
    </xf>
    <xf numFmtId="2" fontId="6" fillId="3" borderId="0" xfId="0" applyNumberFormat="1" applyFont="1" applyFill="1"/>
    <xf numFmtId="0" fontId="1" fillId="3" borderId="0" xfId="1" applyFont="1" applyFill="1" applyAlignment="1">
      <alignment horizontal="center"/>
    </xf>
    <xf numFmtId="2" fontId="1" fillId="3" borderId="0" xfId="1" quotePrefix="1" applyNumberFormat="1" applyFont="1" applyFill="1" applyAlignment="1">
      <alignment horizontal="center"/>
    </xf>
    <xf numFmtId="2" fontId="9" fillId="3" borderId="0" xfId="0" applyNumberFormat="1" applyFont="1" applyFill="1" applyBorder="1"/>
    <xf numFmtId="0" fontId="9" fillId="3" borderId="0" xfId="0" applyFont="1" applyFill="1" applyBorder="1"/>
    <xf numFmtId="0" fontId="1" fillId="3" borderId="0" xfId="1" applyFont="1" applyFill="1" applyBorder="1"/>
    <xf numFmtId="2" fontId="9" fillId="3" borderId="0" xfId="0" applyNumberFormat="1" applyFont="1" applyFill="1" applyBorder="1" applyAlignment="1">
      <alignment horizontal="center"/>
    </xf>
    <xf numFmtId="164" fontId="1" fillId="3" borderId="0" xfId="1" quotePrefix="1" applyNumberFormat="1" applyFont="1" applyFill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1" fillId="3" borderId="0" xfId="1" quotePrefix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indent="2"/>
    </xf>
    <xf numFmtId="2" fontId="6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3" xfId="0" applyFont="1" applyFill="1" applyBorder="1"/>
    <xf numFmtId="0" fontId="0" fillId="3" borderId="0" xfId="0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7" fillId="3" borderId="0" xfId="0" applyFont="1" applyFill="1"/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20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/>
    <xf numFmtId="0" fontId="18" fillId="3" borderId="0" xfId="0" applyFont="1" applyFill="1" applyAlignment="1">
      <alignment horizontal="left"/>
    </xf>
    <xf numFmtId="0" fontId="23" fillId="3" borderId="0" xfId="1" applyFont="1" applyFill="1" applyAlignment="1">
      <alignment horizontal="center"/>
    </xf>
    <xf numFmtId="0" fontId="17" fillId="0" borderId="0" xfId="0" applyFont="1"/>
    <xf numFmtId="0" fontId="23" fillId="3" borderId="0" xfId="1" applyFont="1" applyFill="1"/>
    <xf numFmtId="0" fontId="18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1" fillId="3" borderId="3" xfId="0" applyFont="1" applyFill="1" applyBorder="1"/>
    <xf numFmtId="0" fontId="10" fillId="3" borderId="0" xfId="0" applyFont="1" applyFill="1"/>
    <xf numFmtId="0" fontId="2" fillId="3" borderId="1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5" fillId="3" borderId="0" xfId="0" applyFont="1" applyFill="1"/>
    <xf numFmtId="0" fontId="6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/>
    <xf numFmtId="2" fontId="6" fillId="0" borderId="0" xfId="0" applyNumberFormat="1" applyFont="1" applyFill="1"/>
    <xf numFmtId="0" fontId="1" fillId="0" borderId="0" xfId="0" applyFont="1" applyFill="1" applyAlignment="1">
      <alignment horizontal="left"/>
    </xf>
    <xf numFmtId="0" fontId="6" fillId="0" borderId="0" xfId="0" applyFont="1" applyFill="1"/>
    <xf numFmtId="2" fontId="1" fillId="0" borderId="0" xfId="0" quotePrefix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1" xfId="0" applyFont="1" applyFill="1" applyBorder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2" fontId="1" fillId="0" borderId="0" xfId="0" applyNumberFormat="1" applyFont="1" applyFill="1"/>
    <xf numFmtId="0" fontId="1" fillId="0" borderId="1" xfId="0" applyFont="1" applyFill="1" applyBorder="1" applyAlignment="1">
      <alignment horizontal="left" indent="2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3" xfId="0" applyFont="1" applyFill="1" applyBorder="1"/>
    <xf numFmtId="0" fontId="1" fillId="3" borderId="0" xfId="0" applyFont="1" applyFill="1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left"/>
    </xf>
    <xf numFmtId="0" fontId="21" fillId="3" borderId="0" xfId="0" applyFont="1" applyFill="1" applyAlignment="1">
      <alignment horizontal="left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/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/>
    <xf numFmtId="0" fontId="18" fillId="3" borderId="0" xfId="0" applyFont="1" applyFill="1" applyAlignment="1">
      <alignment horizontal="left"/>
    </xf>
    <xf numFmtId="0" fontId="18" fillId="3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 wrapText="1"/>
    </xf>
    <xf numFmtId="0" fontId="25" fillId="0" borderId="0" xfId="0" applyFont="1" applyAlignment="1">
      <alignment vertical="center"/>
    </xf>
    <xf numFmtId="0" fontId="1" fillId="3" borderId="0" xfId="0" applyFont="1" applyFill="1" applyBorder="1" applyAlignment="1">
      <alignment horizontal="left" indent="2"/>
    </xf>
    <xf numFmtId="0" fontId="1" fillId="3" borderId="0" xfId="1" applyFont="1" applyFill="1" applyBorder="1" applyAlignment="1">
      <alignment horizontal="center"/>
    </xf>
    <xf numFmtId="0" fontId="1" fillId="3" borderId="1" xfId="1" quotePrefix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V20"/>
  <sheetViews>
    <sheetView tabSelected="1" workbookViewId="0">
      <selection activeCell="B3" sqref="B3"/>
    </sheetView>
  </sheetViews>
  <sheetFormatPr defaultColWidth="10.58203125" defaultRowHeight="15.5" x14ac:dyDescent="0.35"/>
  <cols>
    <col min="1" max="1" width="4.83203125" style="14" customWidth="1"/>
    <col min="2" max="2" width="24" style="14" customWidth="1"/>
    <col min="3" max="3" width="4.08203125" style="14" customWidth="1"/>
    <col min="4" max="4" width="12.08203125" style="14" customWidth="1"/>
    <col min="5" max="5" width="7.5" style="14" customWidth="1"/>
    <col min="6" max="6" width="4.33203125" style="14" customWidth="1"/>
    <col min="7" max="7" width="11.33203125" style="14" customWidth="1"/>
    <col min="8" max="8" width="8.08203125" style="14" customWidth="1"/>
    <col min="9" max="9" width="5" style="14" customWidth="1"/>
    <col min="10" max="10" width="10.58203125" style="14"/>
    <col min="11" max="11" width="7.58203125" style="14" customWidth="1"/>
    <col min="12" max="16384" width="10.58203125" style="14"/>
  </cols>
  <sheetData>
    <row r="2" spans="2:22" ht="18.5" x14ac:dyDescent="0.35">
      <c r="B2" s="13" t="s">
        <v>1517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22" ht="18.5" x14ac:dyDescent="0.35">
      <c r="B3" s="63"/>
      <c r="C3" s="134" t="s">
        <v>884</v>
      </c>
      <c r="D3" s="134"/>
      <c r="E3" s="134"/>
      <c r="F3" s="134" t="s">
        <v>885</v>
      </c>
      <c r="G3" s="134"/>
      <c r="H3" s="134"/>
      <c r="I3" s="134" t="s">
        <v>882</v>
      </c>
      <c r="J3" s="134"/>
      <c r="K3" s="134"/>
      <c r="L3" s="134" t="s">
        <v>932</v>
      </c>
      <c r="M3" s="134"/>
      <c r="N3" s="134" t="s">
        <v>933</v>
      </c>
      <c r="O3" s="134"/>
      <c r="P3" s="132" t="s">
        <v>934</v>
      </c>
      <c r="Q3" s="132" t="s">
        <v>935</v>
      </c>
      <c r="R3" s="30"/>
      <c r="S3" s="30"/>
    </row>
    <row r="4" spans="2:22" x14ac:dyDescent="0.35">
      <c r="B4" s="2"/>
      <c r="C4" s="10" t="s">
        <v>1</v>
      </c>
      <c r="D4" s="10" t="s">
        <v>280</v>
      </c>
      <c r="E4" s="11" t="s">
        <v>2</v>
      </c>
      <c r="F4" s="10" t="s">
        <v>1</v>
      </c>
      <c r="G4" s="10" t="s">
        <v>280</v>
      </c>
      <c r="H4" s="11" t="s">
        <v>2</v>
      </c>
      <c r="I4" s="10" t="s">
        <v>1</v>
      </c>
      <c r="J4" s="10" t="s">
        <v>280</v>
      </c>
      <c r="K4" s="11" t="s">
        <v>2</v>
      </c>
      <c r="L4" s="10" t="s">
        <v>280</v>
      </c>
      <c r="M4" s="11" t="s">
        <v>2</v>
      </c>
      <c r="N4" s="10" t="s">
        <v>280</v>
      </c>
      <c r="O4" s="11" t="s">
        <v>2</v>
      </c>
      <c r="P4" s="133"/>
      <c r="Q4" s="133"/>
      <c r="R4" s="7"/>
      <c r="S4" s="44"/>
    </row>
    <row r="5" spans="2:22" x14ac:dyDescent="0.35">
      <c r="B5" s="13" t="s">
        <v>989</v>
      </c>
      <c r="C5" s="43"/>
      <c r="D5" s="43"/>
      <c r="E5" s="44"/>
      <c r="F5" s="43"/>
      <c r="G5" s="43"/>
      <c r="H5" s="44"/>
      <c r="I5" s="43"/>
      <c r="J5" s="43"/>
      <c r="K5" s="44"/>
      <c r="L5" s="43"/>
      <c r="M5" s="44"/>
      <c r="N5" s="43"/>
      <c r="O5" s="44"/>
      <c r="P5" s="45"/>
      <c r="Q5" s="45"/>
      <c r="R5" s="30"/>
      <c r="S5" s="30"/>
    </row>
    <row r="6" spans="2:22" x14ac:dyDescent="0.35">
      <c r="B6" s="46" t="s">
        <v>5</v>
      </c>
      <c r="C6" s="12">
        <v>69</v>
      </c>
      <c r="D6" s="12" t="s">
        <v>908</v>
      </c>
      <c r="E6" s="16">
        <v>0.61</v>
      </c>
      <c r="F6" s="12">
        <v>69</v>
      </c>
      <c r="G6" s="12" t="s">
        <v>909</v>
      </c>
      <c r="H6" s="16">
        <v>0.33</v>
      </c>
      <c r="I6" s="12">
        <v>68</v>
      </c>
      <c r="J6" s="12" t="s">
        <v>910</v>
      </c>
      <c r="K6" s="16">
        <v>4.0000000000000002E-4</v>
      </c>
      <c r="L6" s="12" t="s">
        <v>914</v>
      </c>
      <c r="M6" s="16">
        <v>0.74</v>
      </c>
      <c r="N6" s="12" t="s">
        <v>915</v>
      </c>
      <c r="O6" s="16">
        <v>0.03</v>
      </c>
      <c r="P6" s="21">
        <f xml:space="preserve"> ((26.88/23.24)/(25.93/22.75))</f>
        <v>1.0147802935614421</v>
      </c>
      <c r="Q6" s="21">
        <f>((30.44/23.24)/(26.98/22.75))</f>
        <v>1.1044548840283299</v>
      </c>
      <c r="R6" s="30"/>
      <c r="S6" s="30"/>
    </row>
    <row r="7" spans="2:22" x14ac:dyDescent="0.35">
      <c r="B7" s="46" t="s">
        <v>976</v>
      </c>
      <c r="C7" s="12">
        <v>66</v>
      </c>
      <c r="D7" s="12" t="s">
        <v>911</v>
      </c>
      <c r="E7" s="16"/>
      <c r="F7" s="12">
        <v>66</v>
      </c>
      <c r="G7" s="12" t="s">
        <v>912</v>
      </c>
      <c r="H7" s="16"/>
      <c r="I7" s="12">
        <v>63</v>
      </c>
      <c r="J7" s="12" t="s">
        <v>913</v>
      </c>
      <c r="K7" s="16"/>
      <c r="L7" s="12"/>
      <c r="M7" s="12"/>
      <c r="N7" s="12"/>
      <c r="O7" s="12"/>
      <c r="P7" s="12"/>
      <c r="Q7" s="12"/>
      <c r="R7" s="64"/>
      <c r="S7" s="30"/>
    </row>
    <row r="8" spans="2:22" ht="3" customHeight="1" x14ac:dyDescent="0.35">
      <c r="B8" s="4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0"/>
      <c r="S8" s="30"/>
    </row>
    <row r="9" spans="2:22" x14ac:dyDescent="0.35">
      <c r="B9" s="46" t="s">
        <v>4</v>
      </c>
      <c r="C9" s="12">
        <v>88</v>
      </c>
      <c r="D9" s="12" t="s">
        <v>916</v>
      </c>
      <c r="E9" s="16">
        <v>0.01</v>
      </c>
      <c r="F9" s="12">
        <v>87</v>
      </c>
      <c r="G9" s="12" t="s">
        <v>917</v>
      </c>
      <c r="H9" s="16" t="s">
        <v>981</v>
      </c>
      <c r="I9" s="12">
        <v>85</v>
      </c>
      <c r="J9" s="12" t="s">
        <v>918</v>
      </c>
      <c r="K9" s="16" t="s">
        <v>981</v>
      </c>
      <c r="L9" s="12" t="s">
        <v>922</v>
      </c>
      <c r="M9" s="16" t="s">
        <v>981</v>
      </c>
      <c r="N9" s="12" t="s">
        <v>923</v>
      </c>
      <c r="O9" s="16" t="s">
        <v>981</v>
      </c>
      <c r="P9" s="21">
        <f>((32.47/24.72)/(21.37/22.5))</f>
        <v>1.3829670030121164</v>
      </c>
      <c r="Q9" s="21">
        <f>((34.48/24.72)/(24.46/22.5))</f>
        <v>1.2830537671966913</v>
      </c>
      <c r="R9" s="30"/>
      <c r="S9" s="30"/>
    </row>
    <row r="10" spans="2:22" x14ac:dyDescent="0.35">
      <c r="B10" s="46" t="s">
        <v>973</v>
      </c>
      <c r="C10" s="12">
        <v>87</v>
      </c>
      <c r="D10" s="12" t="s">
        <v>919</v>
      </c>
      <c r="E10" s="65"/>
      <c r="F10" s="12">
        <v>87</v>
      </c>
      <c r="G10" s="12" t="s">
        <v>920</v>
      </c>
      <c r="H10" s="12"/>
      <c r="I10" s="12">
        <v>87</v>
      </c>
      <c r="J10" s="12" t="s">
        <v>921</v>
      </c>
      <c r="K10" s="12"/>
      <c r="L10" s="12"/>
      <c r="M10" s="12"/>
      <c r="N10" s="12"/>
      <c r="O10" s="12"/>
      <c r="P10" s="12"/>
      <c r="Q10" s="12"/>
      <c r="R10" s="30"/>
      <c r="S10" s="30"/>
    </row>
    <row r="11" spans="2:22" ht="3" customHeight="1" x14ac:dyDescent="0.35">
      <c r="B11" s="4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30"/>
      <c r="S11" s="30"/>
    </row>
    <row r="12" spans="2:22" x14ac:dyDescent="0.35">
      <c r="B12" s="46" t="s">
        <v>883</v>
      </c>
      <c r="C12" s="12">
        <v>55</v>
      </c>
      <c r="D12" s="12" t="s">
        <v>924</v>
      </c>
      <c r="E12" s="18">
        <v>0.1</v>
      </c>
      <c r="F12" s="12">
        <v>54</v>
      </c>
      <c r="G12" s="12" t="s">
        <v>925</v>
      </c>
      <c r="H12" s="16" t="s">
        <v>981</v>
      </c>
      <c r="I12" s="12">
        <v>54</v>
      </c>
      <c r="J12" s="12" t="s">
        <v>926</v>
      </c>
      <c r="K12" s="16" t="s">
        <v>981</v>
      </c>
      <c r="L12" s="12" t="s">
        <v>930</v>
      </c>
      <c r="M12" s="16" t="s">
        <v>981</v>
      </c>
      <c r="N12" s="12" t="s">
        <v>931</v>
      </c>
      <c r="O12" s="16" t="s">
        <v>981</v>
      </c>
      <c r="P12" s="21">
        <f>((33.56/25.02)/(21.42/23.22))</f>
        <v>1.4540434878987567</v>
      </c>
      <c r="Q12" s="21">
        <f>((36.24/25.02)/(25.48/23.22))</f>
        <v>1.3199688287046971</v>
      </c>
      <c r="R12" s="30"/>
      <c r="S12" s="30"/>
    </row>
    <row r="13" spans="2:22" x14ac:dyDescent="0.35">
      <c r="B13" s="58" t="s">
        <v>974</v>
      </c>
      <c r="C13" s="34">
        <v>54</v>
      </c>
      <c r="D13" s="34" t="s">
        <v>927</v>
      </c>
      <c r="E13" s="34"/>
      <c r="F13" s="34">
        <v>54</v>
      </c>
      <c r="G13" s="34" t="s">
        <v>928</v>
      </c>
      <c r="H13" s="34"/>
      <c r="I13" s="34">
        <v>55</v>
      </c>
      <c r="J13" s="34" t="s">
        <v>929</v>
      </c>
      <c r="K13" s="34"/>
      <c r="L13" s="34"/>
      <c r="M13" s="34"/>
      <c r="N13" s="34"/>
      <c r="O13" s="34"/>
      <c r="P13" s="34"/>
      <c r="Q13" s="34"/>
      <c r="R13" s="30"/>
      <c r="S13" s="30"/>
    </row>
    <row r="14" spans="2:22" s="69" customFormat="1" ht="10.5" x14ac:dyDescent="0.25">
      <c r="B14" s="135" t="s">
        <v>972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70"/>
      <c r="Q14" s="70"/>
      <c r="R14" s="71"/>
      <c r="S14" s="71"/>
      <c r="T14" s="72"/>
    </row>
    <row r="15" spans="2:22" s="69" customFormat="1" ht="12.5" x14ac:dyDescent="0.25">
      <c r="B15" s="138" t="s">
        <v>984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72"/>
      <c r="Q15" s="72"/>
      <c r="R15" s="72"/>
      <c r="S15" s="70"/>
      <c r="T15" s="72"/>
    </row>
    <row r="16" spans="2:22" s="69" customFormat="1" ht="12.5" x14ac:dyDescent="0.25">
      <c r="B16" s="136" t="s">
        <v>985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2:22" s="69" customFormat="1" ht="12.5" x14ac:dyDescent="0.25">
      <c r="B17" s="136" t="s">
        <v>986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2:22" s="69" customFormat="1" ht="12.5" x14ac:dyDescent="0.25">
      <c r="B18" s="137" t="s">
        <v>987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2:22" s="69" customFormat="1" ht="12.5" x14ac:dyDescent="0.25">
      <c r="B19" s="137" t="s">
        <v>988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2:22" x14ac:dyDescent="0.35">
      <c r="I20" s="38"/>
      <c r="J20" s="38"/>
      <c r="K20" s="38"/>
    </row>
  </sheetData>
  <mergeCells count="13">
    <mergeCell ref="B14:O14"/>
    <mergeCell ref="B16:V16"/>
    <mergeCell ref="B17:V17"/>
    <mergeCell ref="B18:V18"/>
    <mergeCell ref="B19:V19"/>
    <mergeCell ref="B15:O15"/>
    <mergeCell ref="Q3:Q4"/>
    <mergeCell ref="C3:E3"/>
    <mergeCell ref="F3:H3"/>
    <mergeCell ref="I3:K3"/>
    <mergeCell ref="L3:M3"/>
    <mergeCell ref="N3:O3"/>
    <mergeCell ref="P3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U94"/>
  <sheetViews>
    <sheetView zoomScale="89" zoomScaleNormal="89" workbookViewId="0">
      <selection activeCell="V6" sqref="V6"/>
    </sheetView>
  </sheetViews>
  <sheetFormatPr defaultColWidth="10.58203125" defaultRowHeight="15.5" x14ac:dyDescent="0.35"/>
  <cols>
    <col min="1" max="1" width="10.58203125" style="14"/>
    <col min="2" max="2" width="18.83203125" style="14" customWidth="1"/>
    <col min="3" max="3" width="4.08203125" style="14" customWidth="1"/>
    <col min="4" max="4" width="11.08203125" style="14" customWidth="1"/>
    <col min="5" max="5" width="5.83203125" style="14" customWidth="1"/>
    <col min="6" max="6" width="4.08203125" style="14" customWidth="1"/>
    <col min="7" max="7" width="12" style="14" customWidth="1"/>
    <col min="8" max="8" width="5.83203125" style="14" customWidth="1"/>
    <col min="9" max="9" width="4" style="38" customWidth="1"/>
    <col min="10" max="10" width="11.5" style="38" customWidth="1"/>
    <col min="11" max="11" width="5.83203125" style="38" customWidth="1"/>
    <col min="12" max="12" width="17" style="14" hidden="1" customWidth="1"/>
    <col min="13" max="13" width="3.33203125" style="14" hidden="1" customWidth="1"/>
    <col min="14" max="14" width="15.5" style="14" hidden="1" customWidth="1"/>
    <col min="15" max="15" width="12" style="14" customWidth="1"/>
    <col min="16" max="16" width="5.83203125" style="14" customWidth="1"/>
    <col min="17" max="17" width="11.58203125" style="14" customWidth="1"/>
    <col min="18" max="18" width="5.83203125" style="14" customWidth="1"/>
    <col min="19" max="19" width="12.5" style="14" customWidth="1"/>
    <col min="20" max="20" width="11" style="14" customWidth="1"/>
    <col min="21" max="16384" width="10.58203125" style="14"/>
  </cols>
  <sheetData>
    <row r="2" spans="2:21" ht="18.5" x14ac:dyDescent="0.35">
      <c r="B2" s="2" t="s">
        <v>1519</v>
      </c>
      <c r="C2" s="2"/>
      <c r="D2" s="2"/>
      <c r="E2" s="2"/>
      <c r="F2" s="2"/>
      <c r="G2" s="2"/>
      <c r="H2" s="2"/>
      <c r="I2" s="34"/>
      <c r="J2" s="34"/>
      <c r="K2" s="34"/>
      <c r="L2" s="2"/>
      <c r="M2" s="2"/>
      <c r="N2" s="2"/>
      <c r="O2" s="2"/>
      <c r="P2" s="2"/>
      <c r="Q2" s="2"/>
      <c r="R2" s="2"/>
      <c r="S2" s="42"/>
      <c r="T2" s="25"/>
      <c r="U2" s="6"/>
    </row>
    <row r="3" spans="2:21" ht="18.5" x14ac:dyDescent="0.35">
      <c r="B3" s="7"/>
      <c r="C3" s="134" t="s">
        <v>884</v>
      </c>
      <c r="D3" s="134"/>
      <c r="E3" s="134"/>
      <c r="F3" s="134" t="s">
        <v>885</v>
      </c>
      <c r="G3" s="134"/>
      <c r="H3" s="134"/>
      <c r="I3" s="134" t="s">
        <v>882</v>
      </c>
      <c r="J3" s="134"/>
      <c r="K3" s="134"/>
      <c r="L3" s="8" t="s">
        <v>892</v>
      </c>
      <c r="M3" s="7"/>
      <c r="N3" s="8" t="s">
        <v>893</v>
      </c>
      <c r="O3" s="134" t="s">
        <v>932</v>
      </c>
      <c r="P3" s="134"/>
      <c r="Q3" s="134" t="s">
        <v>933</v>
      </c>
      <c r="R3" s="134"/>
      <c r="S3" s="132" t="s">
        <v>977</v>
      </c>
      <c r="T3" s="132" t="s">
        <v>978</v>
      </c>
      <c r="U3" s="6"/>
    </row>
    <row r="4" spans="2:21" x14ac:dyDescent="0.35">
      <c r="B4" s="10"/>
      <c r="C4" s="10" t="s">
        <v>1</v>
      </c>
      <c r="D4" s="10" t="s">
        <v>280</v>
      </c>
      <c r="E4" s="11" t="s">
        <v>2</v>
      </c>
      <c r="F4" s="10" t="s">
        <v>1</v>
      </c>
      <c r="G4" s="10" t="s">
        <v>623</v>
      </c>
      <c r="H4" s="11" t="s">
        <v>2</v>
      </c>
      <c r="I4" s="10" t="s">
        <v>1</v>
      </c>
      <c r="J4" s="10" t="s">
        <v>280</v>
      </c>
      <c r="K4" s="11" t="s">
        <v>2</v>
      </c>
      <c r="L4" s="10" t="s">
        <v>280</v>
      </c>
      <c r="M4" s="10"/>
      <c r="N4" s="10" t="s">
        <v>280</v>
      </c>
      <c r="O4" s="10" t="s">
        <v>280</v>
      </c>
      <c r="P4" s="11" t="s">
        <v>2</v>
      </c>
      <c r="Q4" s="10" t="s">
        <v>280</v>
      </c>
      <c r="R4" s="11" t="s">
        <v>2</v>
      </c>
      <c r="S4" s="133"/>
      <c r="T4" s="133"/>
      <c r="U4" s="6"/>
    </row>
    <row r="5" spans="2:21" ht="18.5" x14ac:dyDescent="0.35">
      <c r="B5" s="13" t="s">
        <v>1522</v>
      </c>
      <c r="C5" s="43"/>
      <c r="D5" s="43"/>
      <c r="E5" s="44"/>
      <c r="F5" s="43"/>
      <c r="G5" s="43"/>
      <c r="H5" s="44"/>
      <c r="I5" s="43"/>
      <c r="J5" s="43"/>
      <c r="K5" s="44"/>
      <c r="L5" s="43"/>
      <c r="M5" s="43"/>
      <c r="N5" s="43"/>
      <c r="O5" s="43"/>
      <c r="P5" s="44"/>
      <c r="Q5" s="43"/>
      <c r="R5" s="44"/>
      <c r="S5" s="45"/>
      <c r="T5" s="45"/>
      <c r="U5" s="6"/>
    </row>
    <row r="6" spans="2:21" x14ac:dyDescent="0.35">
      <c r="B6" s="46" t="s">
        <v>5</v>
      </c>
      <c r="C6" s="12">
        <v>69</v>
      </c>
      <c r="D6" s="21" t="s">
        <v>725</v>
      </c>
      <c r="E6" s="18">
        <v>0.248</v>
      </c>
      <c r="F6" s="12">
        <v>69</v>
      </c>
      <c r="G6" s="21" t="s">
        <v>753</v>
      </c>
      <c r="H6" s="18">
        <v>9.7000000000000003E-2</v>
      </c>
      <c r="I6" s="12">
        <v>68</v>
      </c>
      <c r="J6" s="12" t="s">
        <v>777</v>
      </c>
      <c r="K6" s="18">
        <v>0.17599999999999999</v>
      </c>
      <c r="L6" s="47" t="s">
        <v>803</v>
      </c>
      <c r="M6" s="43"/>
      <c r="N6" s="47" t="s">
        <v>827</v>
      </c>
      <c r="O6" s="19" t="s">
        <v>853</v>
      </c>
      <c r="P6" s="18">
        <v>0.72</v>
      </c>
      <c r="Q6" s="19" t="s">
        <v>863</v>
      </c>
      <c r="R6" s="18">
        <v>0.878</v>
      </c>
      <c r="S6" s="21">
        <f>(5.94/6.1)/(6.41/6.42)</f>
        <v>0.97528963453620121</v>
      </c>
      <c r="T6" s="21">
        <f>(5.19/6.1)/(5.58/6.42)</f>
        <v>0.97890005288207305</v>
      </c>
      <c r="U6" s="6"/>
    </row>
    <row r="7" spans="2:21" x14ac:dyDescent="0.35">
      <c r="B7" s="46" t="s">
        <v>976</v>
      </c>
      <c r="C7" s="12">
        <v>66</v>
      </c>
      <c r="D7" s="12" t="s">
        <v>726</v>
      </c>
      <c r="E7" s="18"/>
      <c r="F7" s="12">
        <v>66</v>
      </c>
      <c r="G7" s="21" t="s">
        <v>754</v>
      </c>
      <c r="H7" s="18"/>
      <c r="I7" s="12">
        <v>63</v>
      </c>
      <c r="J7" s="12" t="s">
        <v>778</v>
      </c>
      <c r="K7" s="16"/>
      <c r="L7" s="47" t="s">
        <v>804</v>
      </c>
      <c r="M7" s="43"/>
      <c r="N7" s="47" t="s">
        <v>828</v>
      </c>
      <c r="O7" s="6"/>
      <c r="P7" s="23"/>
      <c r="Q7" s="6"/>
      <c r="R7" s="48"/>
      <c r="S7" s="21"/>
      <c r="T7" s="21"/>
      <c r="U7" s="6"/>
    </row>
    <row r="8" spans="2:21" ht="3" customHeight="1" x14ac:dyDescent="0.35">
      <c r="B8" s="46"/>
      <c r="C8" s="12"/>
      <c r="D8" s="12"/>
      <c r="E8" s="18"/>
      <c r="F8" s="12"/>
      <c r="G8" s="12"/>
      <c r="H8" s="18"/>
      <c r="I8" s="12"/>
      <c r="J8" s="12"/>
      <c r="K8" s="16"/>
      <c r="L8" s="49"/>
      <c r="M8" s="43"/>
      <c r="N8" s="49"/>
      <c r="O8" s="6"/>
      <c r="P8" s="23"/>
      <c r="Q8" s="6"/>
      <c r="R8" s="48"/>
      <c r="S8" s="12"/>
      <c r="T8" s="12"/>
      <c r="U8" s="6"/>
    </row>
    <row r="9" spans="2:21" x14ac:dyDescent="0.35">
      <c r="B9" s="46" t="s">
        <v>4</v>
      </c>
      <c r="C9" s="12">
        <v>88</v>
      </c>
      <c r="D9" s="12" t="s">
        <v>727</v>
      </c>
      <c r="E9" s="18">
        <v>0.11</v>
      </c>
      <c r="F9" s="12">
        <v>87</v>
      </c>
      <c r="G9" s="21" t="s">
        <v>755</v>
      </c>
      <c r="H9" s="18">
        <v>0.51800000000000002</v>
      </c>
      <c r="I9" s="12">
        <v>85</v>
      </c>
      <c r="J9" s="12" t="s">
        <v>779</v>
      </c>
      <c r="K9" s="18">
        <v>0.33200000000000002</v>
      </c>
      <c r="L9" s="49" t="s">
        <v>805</v>
      </c>
      <c r="M9" s="43"/>
      <c r="N9" s="50" t="s">
        <v>829</v>
      </c>
      <c r="O9" s="12" t="s">
        <v>854</v>
      </c>
      <c r="P9" s="18">
        <v>0.502</v>
      </c>
      <c r="Q9" s="12" t="s">
        <v>864</v>
      </c>
      <c r="R9" s="18">
        <v>0.66300000000000003</v>
      </c>
      <c r="S9" s="21">
        <f xml:space="preserve"> (5.8/6.73)/(5.96/6.13)</f>
        <v>0.88639468671779165</v>
      </c>
      <c r="T9" s="21">
        <f>(5.13/6.73)/(5.37/6.13)</f>
        <v>0.87013871018619204</v>
      </c>
      <c r="U9" s="6"/>
    </row>
    <row r="10" spans="2:21" x14ac:dyDescent="0.35">
      <c r="B10" s="46" t="s">
        <v>973</v>
      </c>
      <c r="C10" s="12">
        <v>87</v>
      </c>
      <c r="D10" s="12" t="s">
        <v>728</v>
      </c>
      <c r="E10" s="18"/>
      <c r="F10" s="12">
        <v>87</v>
      </c>
      <c r="G10" s="21" t="s">
        <v>756</v>
      </c>
      <c r="H10" s="18"/>
      <c r="I10" s="12">
        <v>87</v>
      </c>
      <c r="J10" s="12" t="s">
        <v>780</v>
      </c>
      <c r="K10" s="16"/>
      <c r="L10" s="47" t="s">
        <v>806</v>
      </c>
      <c r="M10" s="43"/>
      <c r="N10" s="47" t="s">
        <v>830</v>
      </c>
      <c r="O10" s="6"/>
      <c r="P10" s="23"/>
      <c r="Q10" s="6"/>
      <c r="R10" s="48"/>
      <c r="S10" s="21"/>
      <c r="T10" s="21"/>
      <c r="U10" s="6"/>
    </row>
    <row r="11" spans="2:21" ht="3" customHeight="1" x14ac:dyDescent="0.35">
      <c r="B11" s="46"/>
      <c r="C11" s="12"/>
      <c r="D11" s="12"/>
      <c r="E11" s="18"/>
      <c r="F11" s="12"/>
      <c r="G11" s="12"/>
      <c r="H11" s="18"/>
      <c r="I11" s="12"/>
      <c r="J11" s="12"/>
      <c r="K11" s="16"/>
      <c r="L11" s="49"/>
      <c r="M11" s="43"/>
      <c r="N11" s="49"/>
      <c r="O11" s="6"/>
      <c r="P11" s="23"/>
      <c r="Q11" s="6"/>
      <c r="R11" s="48"/>
      <c r="S11" s="12"/>
      <c r="T11" s="12"/>
      <c r="U11" s="6"/>
    </row>
    <row r="12" spans="2:21" x14ac:dyDescent="0.35">
      <c r="B12" s="46" t="s">
        <v>883</v>
      </c>
      <c r="C12" s="12">
        <v>55</v>
      </c>
      <c r="D12" s="12" t="s">
        <v>729</v>
      </c>
      <c r="E12" s="18">
        <v>0.46100000000000002</v>
      </c>
      <c r="F12" s="12">
        <v>54</v>
      </c>
      <c r="G12" s="21" t="s">
        <v>729</v>
      </c>
      <c r="H12" s="18">
        <v>0.78300000000000003</v>
      </c>
      <c r="I12" s="12">
        <v>54</v>
      </c>
      <c r="J12" s="12" t="s">
        <v>781</v>
      </c>
      <c r="K12" s="18">
        <v>0.57899999999999996</v>
      </c>
      <c r="L12" s="49" t="s">
        <v>807</v>
      </c>
      <c r="M12" s="43"/>
      <c r="N12" s="47" t="s">
        <v>831</v>
      </c>
      <c r="O12" s="12" t="s">
        <v>855</v>
      </c>
      <c r="P12" s="18">
        <v>0.745</v>
      </c>
      <c r="Q12" s="12" t="s">
        <v>865</v>
      </c>
      <c r="R12" s="18">
        <v>0.89700000000000002</v>
      </c>
      <c r="S12" s="21">
        <f>(5.52/5.52)/(5.6/5.74)</f>
        <v>1.0250000000000001</v>
      </c>
      <c r="T12" s="21">
        <f>(4.98/5.52)/(5.15/5.74)</f>
        <v>1.0055297593921486</v>
      </c>
      <c r="U12" s="6"/>
    </row>
    <row r="13" spans="2:21" x14ac:dyDescent="0.35">
      <c r="B13" s="46" t="s">
        <v>974</v>
      </c>
      <c r="C13" s="12">
        <v>54</v>
      </c>
      <c r="D13" s="12" t="s">
        <v>730</v>
      </c>
      <c r="E13" s="18"/>
      <c r="F13" s="12">
        <v>54</v>
      </c>
      <c r="G13" s="21" t="s">
        <v>757</v>
      </c>
      <c r="H13" s="18"/>
      <c r="I13" s="12">
        <v>55</v>
      </c>
      <c r="J13" s="12" t="s">
        <v>782</v>
      </c>
      <c r="K13" s="16"/>
      <c r="L13" s="47" t="s">
        <v>808</v>
      </c>
      <c r="M13" s="43"/>
      <c r="N13" s="47" t="s">
        <v>832</v>
      </c>
      <c r="O13" s="6"/>
      <c r="P13" s="23"/>
      <c r="Q13" s="6"/>
      <c r="R13" s="48"/>
      <c r="S13" s="21"/>
      <c r="T13" s="21"/>
      <c r="U13" s="6"/>
    </row>
    <row r="14" spans="2:21" ht="18.5" x14ac:dyDescent="0.35">
      <c r="B14" s="7" t="s">
        <v>1185</v>
      </c>
      <c r="C14" s="7"/>
      <c r="D14" s="7"/>
      <c r="E14" s="51"/>
      <c r="F14" s="7"/>
      <c r="G14" s="7"/>
      <c r="H14" s="51"/>
      <c r="I14" s="7"/>
      <c r="J14" s="7"/>
      <c r="K14" s="52"/>
      <c r="L14" s="53"/>
      <c r="M14" s="43"/>
      <c r="N14" s="53"/>
      <c r="O14" s="7"/>
      <c r="P14" s="52"/>
      <c r="Q14" s="43"/>
      <c r="R14" s="54"/>
      <c r="S14" s="43"/>
      <c r="T14" s="43"/>
      <c r="U14" s="6"/>
    </row>
    <row r="15" spans="2:21" x14ac:dyDescent="0.35">
      <c r="B15" s="46" t="s">
        <v>5</v>
      </c>
      <c r="C15" s="12">
        <v>69</v>
      </c>
      <c r="D15" s="12" t="s">
        <v>599</v>
      </c>
      <c r="E15" s="18">
        <v>0.34499999999999997</v>
      </c>
      <c r="F15" s="12">
        <v>69</v>
      </c>
      <c r="G15" s="12" t="s">
        <v>624</v>
      </c>
      <c r="H15" s="18">
        <v>0.16600000000000001</v>
      </c>
      <c r="I15" s="12">
        <v>68</v>
      </c>
      <c r="J15" s="12" t="s">
        <v>642</v>
      </c>
      <c r="K15" s="18">
        <v>0.23200000000000001</v>
      </c>
      <c r="L15" s="47" t="s">
        <v>564</v>
      </c>
      <c r="M15" s="43"/>
      <c r="N15" s="47" t="s">
        <v>686</v>
      </c>
      <c r="O15" s="19" t="s">
        <v>681</v>
      </c>
      <c r="P15" s="18">
        <v>0.755</v>
      </c>
      <c r="Q15" s="19" t="s">
        <v>715</v>
      </c>
      <c r="R15" s="18">
        <v>0.85099999999999998</v>
      </c>
      <c r="S15" s="27">
        <f xml:space="preserve"> (2.58/2.65)/(2.8/2.8)</f>
        <v>0.97358490566037736</v>
      </c>
      <c r="T15" s="27">
        <f>(2.22/2.65)/(2.41/2.8)</f>
        <v>0.97330306114460197</v>
      </c>
      <c r="U15" s="6"/>
    </row>
    <row r="16" spans="2:21" x14ac:dyDescent="0.35">
      <c r="B16" s="46" t="s">
        <v>976</v>
      </c>
      <c r="C16" s="12">
        <v>66</v>
      </c>
      <c r="D16" s="21" t="s">
        <v>600</v>
      </c>
      <c r="E16" s="18"/>
      <c r="F16" s="12">
        <v>66</v>
      </c>
      <c r="G16" s="21" t="s">
        <v>600</v>
      </c>
      <c r="H16" s="18"/>
      <c r="I16" s="12">
        <v>63</v>
      </c>
      <c r="J16" s="12" t="s">
        <v>643</v>
      </c>
      <c r="K16" s="16"/>
      <c r="L16" s="47" t="s">
        <v>665</v>
      </c>
      <c r="M16" s="43"/>
      <c r="N16" s="55" t="s">
        <v>687</v>
      </c>
      <c r="O16" s="6"/>
      <c r="P16" s="23"/>
      <c r="Q16" s="6"/>
      <c r="R16" s="48"/>
      <c r="S16" s="21"/>
      <c r="T16" s="21"/>
      <c r="U16" s="6"/>
    </row>
    <row r="17" spans="2:21" ht="3" customHeight="1" x14ac:dyDescent="0.35">
      <c r="B17" s="46"/>
      <c r="C17" s="12"/>
      <c r="D17" s="12"/>
      <c r="E17" s="18"/>
      <c r="F17" s="12"/>
      <c r="G17" s="12"/>
      <c r="H17" s="18"/>
      <c r="I17" s="12"/>
      <c r="J17" s="12"/>
      <c r="K17" s="16"/>
      <c r="L17" s="49"/>
      <c r="M17" s="43"/>
      <c r="N17" s="49"/>
      <c r="O17" s="6"/>
      <c r="P17" s="23"/>
      <c r="Q17" s="6"/>
      <c r="R17" s="48"/>
      <c r="S17" s="12"/>
      <c r="T17" s="12"/>
      <c r="U17" s="6"/>
    </row>
    <row r="18" spans="2:21" x14ac:dyDescent="0.35">
      <c r="B18" s="46" t="s">
        <v>4</v>
      </c>
      <c r="C18" s="12">
        <v>88</v>
      </c>
      <c r="D18" s="12" t="s">
        <v>601</v>
      </c>
      <c r="E18" s="18">
        <v>7.0999999999999994E-2</v>
      </c>
      <c r="F18" s="12">
        <v>87</v>
      </c>
      <c r="G18" s="21" t="s">
        <v>625</v>
      </c>
      <c r="H18" s="18">
        <v>0.46600000000000003</v>
      </c>
      <c r="I18" s="12">
        <v>85</v>
      </c>
      <c r="J18" s="21" t="s">
        <v>644</v>
      </c>
      <c r="K18" s="18">
        <v>0.34599999999999997</v>
      </c>
      <c r="L18" s="49" t="s">
        <v>666</v>
      </c>
      <c r="M18" s="43"/>
      <c r="N18" s="47" t="s">
        <v>688</v>
      </c>
      <c r="O18" s="12" t="s">
        <v>706</v>
      </c>
      <c r="P18" s="18">
        <v>0.44600000000000001</v>
      </c>
      <c r="Q18" s="12" t="s">
        <v>716</v>
      </c>
      <c r="R18" s="18">
        <v>0.54500000000000004</v>
      </c>
      <c r="S18" s="21">
        <f>(2.5/2.45)/(2.6/2.69)</f>
        <v>1.055729984301413</v>
      </c>
      <c r="T18" s="21">
        <f>(2.2/2.45)/(2.33/2.69)</f>
        <v>1.0366996584041341</v>
      </c>
      <c r="U18" s="6"/>
    </row>
    <row r="19" spans="2:21" x14ac:dyDescent="0.35">
      <c r="B19" s="46" t="s">
        <v>973</v>
      </c>
      <c r="C19" s="12">
        <v>87</v>
      </c>
      <c r="D19" s="12" t="s">
        <v>602</v>
      </c>
      <c r="E19" s="18"/>
      <c r="F19" s="12">
        <v>87</v>
      </c>
      <c r="G19" s="21" t="s">
        <v>626</v>
      </c>
      <c r="H19" s="18"/>
      <c r="I19" s="12">
        <v>87</v>
      </c>
      <c r="J19" s="12" t="s">
        <v>645</v>
      </c>
      <c r="K19" s="16"/>
      <c r="L19" s="50" t="s">
        <v>667</v>
      </c>
      <c r="M19" s="43"/>
      <c r="N19" s="47" t="s">
        <v>689</v>
      </c>
      <c r="O19" s="6"/>
      <c r="P19" s="23"/>
      <c r="Q19" s="6"/>
      <c r="R19" s="48"/>
      <c r="S19" s="21"/>
      <c r="T19" s="21"/>
      <c r="U19" s="6"/>
    </row>
    <row r="20" spans="2:21" ht="3" customHeight="1" x14ac:dyDescent="0.35">
      <c r="B20" s="46"/>
      <c r="C20" s="12"/>
      <c r="D20" s="12"/>
      <c r="E20" s="18"/>
      <c r="F20" s="12"/>
      <c r="G20" s="12"/>
      <c r="H20" s="18"/>
      <c r="I20" s="12"/>
      <c r="J20" s="12"/>
      <c r="K20" s="16"/>
      <c r="L20" s="49"/>
      <c r="M20" s="43"/>
      <c r="N20" s="49"/>
      <c r="O20" s="6"/>
      <c r="P20" s="23"/>
      <c r="Q20" s="6"/>
      <c r="R20" s="48"/>
      <c r="S20" s="12"/>
      <c r="T20" s="12"/>
      <c r="U20" s="6"/>
    </row>
    <row r="21" spans="2:21" x14ac:dyDescent="0.35">
      <c r="B21" s="46" t="s">
        <v>883</v>
      </c>
      <c r="C21" s="12">
        <v>55</v>
      </c>
      <c r="D21" s="21" t="s">
        <v>603</v>
      </c>
      <c r="E21" s="18">
        <v>9.6000000000000002E-2</v>
      </c>
      <c r="F21" s="12">
        <v>54</v>
      </c>
      <c r="G21" s="21" t="s">
        <v>627</v>
      </c>
      <c r="H21" s="18">
        <v>0.251</v>
      </c>
      <c r="I21" s="12">
        <v>54</v>
      </c>
      <c r="J21" s="12" t="s">
        <v>646</v>
      </c>
      <c r="K21" s="18">
        <v>0.19400000000000001</v>
      </c>
      <c r="L21" s="49" t="s">
        <v>668</v>
      </c>
      <c r="M21" s="43"/>
      <c r="N21" s="47" t="s">
        <v>690</v>
      </c>
      <c r="O21" s="12" t="s">
        <v>707</v>
      </c>
      <c r="P21" s="18">
        <v>0.71599999999999997</v>
      </c>
      <c r="Q21" s="12" t="s">
        <v>717</v>
      </c>
      <c r="R21" s="18">
        <v>0.79400000000000004</v>
      </c>
      <c r="S21" s="21">
        <f xml:space="preserve"> (2.31/2.3)/(2.5/2.57)</f>
        <v>1.0324695652173914</v>
      </c>
      <c r="T21" s="21">
        <f xml:space="preserve"> (2.08/2.3)/(2.29/2.57)</f>
        <v>1.0149231061325232</v>
      </c>
      <c r="U21" s="6"/>
    </row>
    <row r="22" spans="2:21" x14ac:dyDescent="0.35">
      <c r="B22" s="46" t="s">
        <v>974</v>
      </c>
      <c r="C22" s="12">
        <v>54</v>
      </c>
      <c r="D22" s="12" t="s">
        <v>604</v>
      </c>
      <c r="E22" s="18"/>
      <c r="F22" s="12">
        <v>54</v>
      </c>
      <c r="G22" s="21" t="s">
        <v>628</v>
      </c>
      <c r="H22" s="18"/>
      <c r="I22" s="12">
        <v>55</v>
      </c>
      <c r="J22" s="12" t="s">
        <v>647</v>
      </c>
      <c r="K22" s="16"/>
      <c r="L22" s="47" t="s">
        <v>669</v>
      </c>
      <c r="M22" s="43"/>
      <c r="N22" s="47" t="s">
        <v>691</v>
      </c>
      <c r="O22" s="6"/>
      <c r="P22" s="23"/>
      <c r="Q22" s="6"/>
      <c r="R22" s="48"/>
      <c r="S22" s="21"/>
      <c r="T22" s="21"/>
      <c r="U22" s="6"/>
    </row>
    <row r="23" spans="2:21" ht="18.5" x14ac:dyDescent="0.35">
      <c r="B23" s="13" t="s">
        <v>1342</v>
      </c>
      <c r="C23" s="12"/>
      <c r="D23" s="12"/>
      <c r="E23" s="18"/>
      <c r="F23" s="12"/>
      <c r="G23" s="12"/>
      <c r="H23" s="18"/>
      <c r="I23" s="12"/>
      <c r="J23" s="12"/>
      <c r="K23" s="16"/>
      <c r="L23" s="49"/>
      <c r="M23" s="43"/>
      <c r="N23" s="49"/>
      <c r="O23" s="6"/>
      <c r="P23" s="23"/>
      <c r="Q23" s="6"/>
      <c r="R23" s="48"/>
      <c r="S23" s="12"/>
      <c r="T23" s="12"/>
      <c r="U23" s="6"/>
    </row>
    <row r="24" spans="2:21" x14ac:dyDescent="0.35">
      <c r="B24" s="46" t="s">
        <v>5</v>
      </c>
      <c r="C24" s="12">
        <v>69</v>
      </c>
      <c r="D24" s="12" t="s">
        <v>605</v>
      </c>
      <c r="E24" s="18">
        <v>0.23100000000000001</v>
      </c>
      <c r="F24" s="12">
        <v>69</v>
      </c>
      <c r="G24" s="21" t="s">
        <v>629</v>
      </c>
      <c r="H24" s="18">
        <v>9.0999999999999998E-2</v>
      </c>
      <c r="I24" s="12">
        <v>68</v>
      </c>
      <c r="J24" s="12" t="s">
        <v>648</v>
      </c>
      <c r="K24" s="18">
        <v>0.191</v>
      </c>
      <c r="L24" s="47" t="s">
        <v>670</v>
      </c>
      <c r="M24" s="43"/>
      <c r="N24" s="47" t="s">
        <v>692</v>
      </c>
      <c r="O24" s="19" t="s">
        <v>683</v>
      </c>
      <c r="P24" s="18">
        <v>0.72499999999999998</v>
      </c>
      <c r="Q24" s="19" t="s">
        <v>682</v>
      </c>
      <c r="R24" s="18">
        <v>0.92600000000000005</v>
      </c>
      <c r="S24" s="21">
        <f>(3.36/3.45)/(3.61/3.63)</f>
        <v>0.97930868360833434</v>
      </c>
      <c r="T24" s="21">
        <f>(2.98/3.45)/(3.17/3.63)</f>
        <v>0.98910986147304891</v>
      </c>
      <c r="U24" s="6"/>
    </row>
    <row r="25" spans="2:21" x14ac:dyDescent="0.35">
      <c r="B25" s="46" t="s">
        <v>976</v>
      </c>
      <c r="C25" s="12">
        <v>66</v>
      </c>
      <c r="D25" s="12" t="s">
        <v>606</v>
      </c>
      <c r="E25" s="18"/>
      <c r="F25" s="12">
        <v>66</v>
      </c>
      <c r="G25" s="21" t="s">
        <v>630</v>
      </c>
      <c r="H25" s="18"/>
      <c r="I25" s="12">
        <v>63</v>
      </c>
      <c r="J25" s="12" t="s">
        <v>610</v>
      </c>
      <c r="K25" s="16"/>
      <c r="L25" s="47" t="s">
        <v>566</v>
      </c>
      <c r="M25" s="43"/>
      <c r="N25" s="47" t="s">
        <v>693</v>
      </c>
      <c r="O25" s="6"/>
      <c r="P25" s="23"/>
      <c r="Q25" s="6"/>
      <c r="R25" s="48"/>
      <c r="S25" s="21"/>
      <c r="T25" s="21"/>
      <c r="U25" s="6"/>
    </row>
    <row r="26" spans="2:21" ht="3" customHeight="1" x14ac:dyDescent="0.35">
      <c r="B26" s="46"/>
      <c r="C26" s="12"/>
      <c r="D26" s="12"/>
      <c r="E26" s="18"/>
      <c r="F26" s="12"/>
      <c r="G26" s="12"/>
      <c r="H26" s="18"/>
      <c r="I26" s="12"/>
      <c r="J26" s="12"/>
      <c r="K26" s="16"/>
      <c r="L26" s="49"/>
      <c r="M26" s="43"/>
      <c r="N26" s="49"/>
      <c r="O26" s="6"/>
      <c r="P26" s="23"/>
      <c r="Q26" s="6"/>
      <c r="R26" s="48"/>
      <c r="S26" s="12"/>
      <c r="T26" s="12"/>
      <c r="U26" s="6"/>
    </row>
    <row r="27" spans="2:21" x14ac:dyDescent="0.35">
      <c r="B27" s="46" t="s">
        <v>4</v>
      </c>
      <c r="C27" s="12">
        <v>88</v>
      </c>
      <c r="D27" s="12" t="s">
        <v>607</v>
      </c>
      <c r="E27" s="18">
        <v>0.254</v>
      </c>
      <c r="F27" s="12">
        <v>87</v>
      </c>
      <c r="G27" s="21" t="s">
        <v>631</v>
      </c>
      <c r="H27" s="18">
        <v>0.64400000000000002</v>
      </c>
      <c r="I27" s="12">
        <v>85</v>
      </c>
      <c r="J27" s="12" t="s">
        <v>649</v>
      </c>
      <c r="K27" s="18">
        <v>0.39500000000000002</v>
      </c>
      <c r="L27" s="49" t="s">
        <v>671</v>
      </c>
      <c r="M27" s="43"/>
      <c r="N27" s="47" t="s">
        <v>694</v>
      </c>
      <c r="O27" s="12" t="s">
        <v>708</v>
      </c>
      <c r="P27" s="18">
        <v>0.63200000000000001</v>
      </c>
      <c r="Q27" s="12" t="s">
        <v>718</v>
      </c>
      <c r="R27" s="18">
        <v>0.84199999999999997</v>
      </c>
      <c r="S27" s="21">
        <f>(3.3/3.28)/(3.36/3.43)</f>
        <v>1.0270579268292683</v>
      </c>
      <c r="T27" s="21">
        <f>(2.93/3.28)/(3.05/3.43)</f>
        <v>1.0045881647341066</v>
      </c>
      <c r="U27" s="6"/>
    </row>
    <row r="28" spans="2:21" x14ac:dyDescent="0.35">
      <c r="B28" s="46" t="s">
        <v>973</v>
      </c>
      <c r="C28" s="12">
        <v>87</v>
      </c>
      <c r="D28" s="12" t="s">
        <v>608</v>
      </c>
      <c r="E28" s="18"/>
      <c r="F28" s="12">
        <v>87</v>
      </c>
      <c r="G28" s="21" t="s">
        <v>632</v>
      </c>
      <c r="H28" s="18"/>
      <c r="I28" s="12">
        <v>87</v>
      </c>
      <c r="J28" s="12" t="s">
        <v>650</v>
      </c>
      <c r="K28" s="16"/>
      <c r="L28" s="47" t="s">
        <v>672</v>
      </c>
      <c r="M28" s="43"/>
      <c r="N28" s="47" t="s">
        <v>695</v>
      </c>
      <c r="O28" s="6"/>
      <c r="P28" s="23"/>
      <c r="Q28" s="6"/>
      <c r="R28" s="48"/>
      <c r="S28" s="21"/>
      <c r="T28" s="21"/>
      <c r="U28" s="6"/>
    </row>
    <row r="29" spans="2:21" ht="3" customHeight="1" x14ac:dyDescent="0.35">
      <c r="B29" s="46"/>
      <c r="C29" s="12"/>
      <c r="D29" s="12"/>
      <c r="E29" s="18"/>
      <c r="F29" s="12"/>
      <c r="G29" s="12"/>
      <c r="H29" s="18"/>
      <c r="I29" s="12"/>
      <c r="J29" s="12"/>
      <c r="K29" s="16"/>
      <c r="L29" s="49"/>
      <c r="M29" s="43"/>
      <c r="N29" s="49"/>
      <c r="O29" s="6"/>
      <c r="P29" s="23"/>
      <c r="Q29" s="6"/>
      <c r="R29" s="48"/>
      <c r="S29" s="12"/>
      <c r="T29" s="12"/>
      <c r="U29" s="6"/>
    </row>
    <row r="30" spans="2:21" x14ac:dyDescent="0.35">
      <c r="B30" s="46" t="s">
        <v>883</v>
      </c>
      <c r="C30" s="12">
        <v>55</v>
      </c>
      <c r="D30" s="12" t="s">
        <v>609</v>
      </c>
      <c r="E30" s="18">
        <v>0.755</v>
      </c>
      <c r="F30" s="12">
        <v>54</v>
      </c>
      <c r="G30" s="21" t="s">
        <v>633</v>
      </c>
      <c r="H30" s="18">
        <v>0.52100000000000002</v>
      </c>
      <c r="I30" s="12">
        <v>54</v>
      </c>
      <c r="J30" s="12" t="s">
        <v>651</v>
      </c>
      <c r="K30" s="18">
        <v>0.78</v>
      </c>
      <c r="L30" s="47" t="s">
        <v>673</v>
      </c>
      <c r="M30" s="43"/>
      <c r="N30" s="47" t="s">
        <v>696</v>
      </c>
      <c r="O30" s="12" t="s">
        <v>709</v>
      </c>
      <c r="P30" s="18">
        <v>0.81399999999999995</v>
      </c>
      <c r="Q30" s="19" t="s">
        <v>719</v>
      </c>
      <c r="R30" s="18">
        <v>0.98199999999999998</v>
      </c>
      <c r="S30" s="21">
        <f>(3.21/3.22)/(3.11/3.17)</f>
        <v>1.0161270995186833</v>
      </c>
      <c r="T30" s="21">
        <f>(2.91/3.22)/(2.86/3.17)</f>
        <v>1.0016830995091865</v>
      </c>
      <c r="U30" s="6"/>
    </row>
    <row r="31" spans="2:21" x14ac:dyDescent="0.35">
      <c r="B31" s="46" t="s">
        <v>974</v>
      </c>
      <c r="C31" s="12">
        <v>54</v>
      </c>
      <c r="D31" s="12" t="s">
        <v>610</v>
      </c>
      <c r="E31" s="18"/>
      <c r="F31" s="12">
        <v>54</v>
      </c>
      <c r="G31" s="21" t="s">
        <v>634</v>
      </c>
      <c r="H31" s="18"/>
      <c r="I31" s="12">
        <v>55</v>
      </c>
      <c r="J31" s="12" t="s">
        <v>652</v>
      </c>
      <c r="K31" s="16"/>
      <c r="L31" s="47" t="s">
        <v>674</v>
      </c>
      <c r="M31" s="43"/>
      <c r="N31" s="47" t="s">
        <v>696</v>
      </c>
      <c r="O31" s="6"/>
      <c r="P31" s="23"/>
      <c r="Q31" s="6"/>
      <c r="R31" s="48"/>
      <c r="S31" s="21"/>
      <c r="T31" s="21"/>
      <c r="U31" s="6"/>
    </row>
    <row r="32" spans="2:21" ht="18.5" x14ac:dyDescent="0.35">
      <c r="B32" s="13" t="s">
        <v>1523</v>
      </c>
      <c r="C32" s="12"/>
      <c r="D32" s="12"/>
      <c r="E32" s="18"/>
      <c r="F32" s="12"/>
      <c r="G32" s="12"/>
      <c r="H32" s="18"/>
      <c r="I32" s="12"/>
      <c r="J32" s="12"/>
      <c r="K32" s="23"/>
      <c r="L32" s="49"/>
      <c r="M32" s="43"/>
      <c r="N32" s="49"/>
      <c r="O32" s="12"/>
      <c r="P32" s="16"/>
      <c r="Q32" s="12"/>
      <c r="R32" s="18"/>
      <c r="S32" s="12"/>
      <c r="T32" s="12"/>
      <c r="U32" s="6"/>
    </row>
    <row r="33" spans="2:21" x14ac:dyDescent="0.35">
      <c r="B33" s="46" t="s">
        <v>5</v>
      </c>
      <c r="C33" s="12">
        <v>69</v>
      </c>
      <c r="D33" s="12" t="s">
        <v>611</v>
      </c>
      <c r="E33" s="18">
        <v>0.27600000000000002</v>
      </c>
      <c r="F33" s="12">
        <v>69</v>
      </c>
      <c r="G33" s="12" t="s">
        <v>635</v>
      </c>
      <c r="H33" s="18">
        <v>7.1999999999999995E-2</v>
      </c>
      <c r="I33" s="12">
        <v>68</v>
      </c>
      <c r="J33" s="12" t="s">
        <v>653</v>
      </c>
      <c r="K33" s="18">
        <v>6.0999999999999999E-2</v>
      </c>
      <c r="L33" s="47" t="s">
        <v>677</v>
      </c>
      <c r="M33" s="43"/>
      <c r="N33" s="47" t="s">
        <v>697</v>
      </c>
      <c r="O33" s="19" t="s">
        <v>710</v>
      </c>
      <c r="P33" s="18">
        <v>0.61299999999999999</v>
      </c>
      <c r="Q33" s="20" t="s">
        <v>720</v>
      </c>
      <c r="R33" s="18">
        <v>0.56499999999999995</v>
      </c>
      <c r="S33" s="21">
        <f>(2.78/2.86)/(3/3)</f>
        <v>0.97202797202797198</v>
      </c>
      <c r="T33" s="21">
        <f>(2.42/2.86)/(2.65/3)</f>
        <v>0.9579100145137881</v>
      </c>
      <c r="U33" s="6"/>
    </row>
    <row r="34" spans="2:21" x14ac:dyDescent="0.35">
      <c r="B34" s="46" t="s">
        <v>976</v>
      </c>
      <c r="C34" s="12">
        <v>66</v>
      </c>
      <c r="D34" s="21" t="s">
        <v>612</v>
      </c>
      <c r="E34" s="18"/>
      <c r="F34" s="12">
        <v>66</v>
      </c>
      <c r="G34" s="21" t="s">
        <v>612</v>
      </c>
      <c r="H34" s="18"/>
      <c r="I34" s="12">
        <v>63</v>
      </c>
      <c r="J34" s="12" t="s">
        <v>654</v>
      </c>
      <c r="K34" s="23"/>
      <c r="L34" s="49" t="s">
        <v>675</v>
      </c>
      <c r="M34" s="43"/>
      <c r="N34" s="47" t="s">
        <v>694</v>
      </c>
      <c r="O34" s="12"/>
      <c r="P34" s="16"/>
      <c r="Q34" s="12"/>
      <c r="R34" s="18"/>
      <c r="S34" s="12"/>
      <c r="T34" s="12"/>
      <c r="U34" s="6"/>
    </row>
    <row r="35" spans="2:21" ht="3" customHeight="1" x14ac:dyDescent="0.35">
      <c r="B35" s="46"/>
      <c r="C35" s="12"/>
      <c r="D35" s="12"/>
      <c r="E35" s="18"/>
      <c r="F35" s="12"/>
      <c r="G35" s="12"/>
      <c r="H35" s="18"/>
      <c r="I35" s="12"/>
      <c r="J35" s="12"/>
      <c r="K35" s="23"/>
      <c r="L35" s="49"/>
      <c r="M35" s="43"/>
      <c r="N35" s="49"/>
      <c r="O35" s="12"/>
      <c r="P35" s="16"/>
      <c r="Q35" s="12"/>
      <c r="R35" s="18"/>
      <c r="S35" s="12"/>
      <c r="T35" s="12"/>
      <c r="U35" s="6"/>
    </row>
    <row r="36" spans="2:21" x14ac:dyDescent="0.35">
      <c r="B36" s="46" t="s">
        <v>4</v>
      </c>
      <c r="C36" s="12">
        <v>88</v>
      </c>
      <c r="D36" s="21" t="s">
        <v>613</v>
      </c>
      <c r="E36" s="18">
        <v>0.14899999999999999</v>
      </c>
      <c r="F36" s="12">
        <v>87</v>
      </c>
      <c r="G36" s="12" t="s">
        <v>636</v>
      </c>
      <c r="H36" s="18">
        <v>0.41299999999999998</v>
      </c>
      <c r="I36" s="12">
        <v>85</v>
      </c>
      <c r="J36" s="12" t="s">
        <v>655</v>
      </c>
      <c r="K36" s="18">
        <v>0.30299999999999999</v>
      </c>
      <c r="L36" s="49" t="s">
        <v>676</v>
      </c>
      <c r="M36" s="43"/>
      <c r="N36" s="47" t="s">
        <v>698</v>
      </c>
      <c r="O36" s="12" t="s">
        <v>711</v>
      </c>
      <c r="P36" s="18">
        <v>0.65900000000000003</v>
      </c>
      <c r="Q36" s="12" t="s">
        <v>556</v>
      </c>
      <c r="R36" s="18">
        <v>0.77500000000000002</v>
      </c>
      <c r="S36" s="21">
        <f>(2.72/2.7)/(2.81/2.86)</f>
        <v>1.0253328061157241</v>
      </c>
      <c r="T36" s="21">
        <f>(2.43/2.7)/(2.54/2.86)</f>
        <v>1.0133858267716536</v>
      </c>
      <c r="U36" s="6"/>
    </row>
    <row r="37" spans="2:21" x14ac:dyDescent="0.35">
      <c r="B37" s="46" t="s">
        <v>973</v>
      </c>
      <c r="C37" s="12">
        <v>87</v>
      </c>
      <c r="D37" s="12" t="s">
        <v>614</v>
      </c>
      <c r="E37" s="18"/>
      <c r="F37" s="12">
        <v>87</v>
      </c>
      <c r="G37" s="12" t="s">
        <v>637</v>
      </c>
      <c r="H37" s="18"/>
      <c r="I37" s="12">
        <v>87</v>
      </c>
      <c r="J37" s="12" t="s">
        <v>656</v>
      </c>
      <c r="K37" s="23"/>
      <c r="L37" s="47" t="s">
        <v>684</v>
      </c>
      <c r="M37" s="43"/>
      <c r="N37" s="47" t="s">
        <v>699</v>
      </c>
      <c r="O37" s="12"/>
      <c r="P37" s="16"/>
      <c r="Q37" s="12"/>
      <c r="R37" s="18"/>
      <c r="S37" s="12"/>
      <c r="T37" s="12"/>
      <c r="U37" s="6"/>
    </row>
    <row r="38" spans="2:21" ht="3" customHeight="1" x14ac:dyDescent="0.35">
      <c r="B38" s="46"/>
      <c r="C38" s="12"/>
      <c r="D38" s="12"/>
      <c r="E38" s="18"/>
      <c r="F38" s="12"/>
      <c r="G38" s="12"/>
      <c r="H38" s="18"/>
      <c r="I38" s="12"/>
      <c r="J38" s="12"/>
      <c r="K38" s="23"/>
      <c r="L38" s="49"/>
      <c r="M38" s="43"/>
      <c r="N38" s="49"/>
      <c r="O38" s="12"/>
      <c r="P38" s="16"/>
      <c r="Q38" s="12"/>
      <c r="R38" s="18"/>
      <c r="S38" s="12"/>
      <c r="T38" s="12"/>
      <c r="U38" s="6"/>
    </row>
    <row r="39" spans="2:21" x14ac:dyDescent="0.35">
      <c r="B39" s="46" t="s">
        <v>883</v>
      </c>
      <c r="C39" s="12">
        <v>55</v>
      </c>
      <c r="D39" s="12" t="s">
        <v>615</v>
      </c>
      <c r="E39" s="18">
        <v>0.375</v>
      </c>
      <c r="F39" s="12">
        <v>54</v>
      </c>
      <c r="G39" s="12" t="s">
        <v>615</v>
      </c>
      <c r="H39" s="18">
        <v>0.69099999999999995</v>
      </c>
      <c r="I39" s="12">
        <v>54</v>
      </c>
      <c r="J39" s="12" t="s">
        <v>657</v>
      </c>
      <c r="K39" s="18">
        <v>0.62</v>
      </c>
      <c r="L39" s="47" t="s">
        <v>685</v>
      </c>
      <c r="M39" s="43"/>
      <c r="N39" s="47" t="s">
        <v>700</v>
      </c>
      <c r="O39" s="12" t="s">
        <v>678</v>
      </c>
      <c r="P39" s="18">
        <v>0.73099999999999998</v>
      </c>
      <c r="Q39" s="12" t="s">
        <v>721</v>
      </c>
      <c r="R39" s="18">
        <v>0.78200000000000003</v>
      </c>
      <c r="S39" s="21">
        <f>(2.59/2.59)/(2.64/2.71)</f>
        <v>1.0265151515151516</v>
      </c>
      <c r="T39" s="21">
        <f>(2.36/2.59)/(2.43/2.71)</f>
        <v>1.0161907939685717</v>
      </c>
      <c r="U39" s="6"/>
    </row>
    <row r="40" spans="2:21" x14ac:dyDescent="0.35">
      <c r="B40" s="46" t="s">
        <v>974</v>
      </c>
      <c r="C40" s="12">
        <v>54</v>
      </c>
      <c r="D40" s="12" t="s">
        <v>616</v>
      </c>
      <c r="E40" s="18"/>
      <c r="F40" s="12">
        <v>54</v>
      </c>
      <c r="G40" s="12" t="s">
        <v>638</v>
      </c>
      <c r="H40" s="18"/>
      <c r="I40" s="12">
        <v>55</v>
      </c>
      <c r="J40" s="12" t="s">
        <v>658</v>
      </c>
      <c r="K40" s="23"/>
      <c r="L40" s="47" t="s">
        <v>672</v>
      </c>
      <c r="M40" s="43"/>
      <c r="N40" s="47" t="s">
        <v>701</v>
      </c>
      <c r="O40" s="12"/>
      <c r="P40" s="16"/>
      <c r="Q40" s="12"/>
      <c r="R40" s="18"/>
      <c r="S40" s="12"/>
      <c r="T40" s="12"/>
      <c r="U40" s="6"/>
    </row>
    <row r="41" spans="2:21" ht="18.5" x14ac:dyDescent="0.35">
      <c r="B41" s="13" t="s">
        <v>1524</v>
      </c>
      <c r="C41" s="12"/>
      <c r="D41" s="12"/>
      <c r="E41" s="18"/>
      <c r="F41" s="12"/>
      <c r="G41" s="12"/>
      <c r="H41" s="18"/>
      <c r="I41" s="12"/>
      <c r="J41" s="12"/>
      <c r="K41" s="23"/>
      <c r="L41" s="49"/>
      <c r="M41" s="43"/>
      <c r="N41" s="49"/>
      <c r="O41" s="12"/>
      <c r="P41" s="16"/>
      <c r="Q41" s="12"/>
      <c r="R41" s="18"/>
      <c r="S41" s="12"/>
      <c r="T41" s="12"/>
      <c r="U41" s="6"/>
    </row>
    <row r="42" spans="2:21" x14ac:dyDescent="0.35">
      <c r="B42" s="46" t="s">
        <v>5</v>
      </c>
      <c r="C42" s="12">
        <v>69</v>
      </c>
      <c r="D42" s="12" t="s">
        <v>617</v>
      </c>
      <c r="E42" s="18">
        <v>0.36099999999999999</v>
      </c>
      <c r="F42" s="12">
        <v>69</v>
      </c>
      <c r="G42" s="12" t="s">
        <v>639</v>
      </c>
      <c r="H42" s="18">
        <v>0.24</v>
      </c>
      <c r="I42" s="12">
        <v>68</v>
      </c>
      <c r="J42" s="12" t="s">
        <v>659</v>
      </c>
      <c r="K42" s="18">
        <v>0.47399999999999998</v>
      </c>
      <c r="L42" s="50" t="s">
        <v>683</v>
      </c>
      <c r="M42" s="43"/>
      <c r="N42" s="47" t="s">
        <v>702</v>
      </c>
      <c r="O42" s="19" t="s">
        <v>712</v>
      </c>
      <c r="P42" s="18">
        <v>0.85299999999999998</v>
      </c>
      <c r="Q42" s="12" t="s">
        <v>722</v>
      </c>
      <c r="R42" s="18">
        <v>0.89500000000000002</v>
      </c>
      <c r="S42" s="21">
        <f>(3.16/3.24)/(3.41/3.43)</f>
        <v>0.98102892726548641</v>
      </c>
      <c r="T42" s="21">
        <f>(2.78/3.24)/(2.93/3.43)</f>
        <v>1.0044452871529095</v>
      </c>
      <c r="U42" s="6"/>
    </row>
    <row r="43" spans="2:21" x14ac:dyDescent="0.35">
      <c r="B43" s="46" t="s">
        <v>976</v>
      </c>
      <c r="C43" s="12">
        <v>66</v>
      </c>
      <c r="D43" s="12" t="s">
        <v>618</v>
      </c>
      <c r="E43" s="18"/>
      <c r="F43" s="12">
        <v>66</v>
      </c>
      <c r="G43" s="12" t="s">
        <v>640</v>
      </c>
      <c r="H43" s="18"/>
      <c r="I43" s="12">
        <v>63</v>
      </c>
      <c r="J43" s="12" t="s">
        <v>660</v>
      </c>
      <c r="K43" s="23"/>
      <c r="L43" s="47" t="s">
        <v>682</v>
      </c>
      <c r="M43" s="43"/>
      <c r="N43" s="50" t="s">
        <v>703</v>
      </c>
      <c r="O43" s="12"/>
      <c r="P43" s="16"/>
      <c r="Q43" s="12"/>
      <c r="R43" s="18"/>
      <c r="S43" s="12"/>
      <c r="T43" s="12"/>
      <c r="U43" s="6"/>
    </row>
    <row r="44" spans="2:21" ht="3" customHeight="1" x14ac:dyDescent="0.35">
      <c r="B44" s="46"/>
      <c r="C44" s="12"/>
      <c r="D44" s="12"/>
      <c r="E44" s="18"/>
      <c r="F44" s="12"/>
      <c r="G44" s="12"/>
      <c r="H44" s="18"/>
      <c r="I44" s="12"/>
      <c r="J44" s="12"/>
      <c r="K44" s="23"/>
      <c r="L44" s="49"/>
      <c r="M44" s="43"/>
      <c r="N44" s="49"/>
      <c r="O44" s="12"/>
      <c r="P44" s="16"/>
      <c r="Q44" s="12"/>
      <c r="R44" s="18"/>
      <c r="S44" s="12"/>
      <c r="T44" s="12"/>
      <c r="U44" s="6"/>
    </row>
    <row r="45" spans="2:21" x14ac:dyDescent="0.35">
      <c r="B45" s="46" t="s">
        <v>4</v>
      </c>
      <c r="C45" s="12">
        <v>88</v>
      </c>
      <c r="D45" s="12" t="s">
        <v>619</v>
      </c>
      <c r="E45" s="18">
        <v>0.186</v>
      </c>
      <c r="F45" s="12">
        <v>87</v>
      </c>
      <c r="G45" s="12" t="s">
        <v>641</v>
      </c>
      <c r="H45" s="18">
        <v>0.69299999999999995</v>
      </c>
      <c r="I45" s="12">
        <v>85</v>
      </c>
      <c r="J45" s="21" t="s">
        <v>661</v>
      </c>
      <c r="K45" s="18">
        <v>0.47599999999999998</v>
      </c>
      <c r="L45" s="49" t="s">
        <v>678</v>
      </c>
      <c r="M45" s="43"/>
      <c r="N45" s="47" t="s">
        <v>508</v>
      </c>
      <c r="O45" s="12" t="s">
        <v>713</v>
      </c>
      <c r="P45" s="18">
        <v>0.51300000000000001</v>
      </c>
      <c r="Q45" s="12" t="s">
        <v>723</v>
      </c>
      <c r="R45" s="18">
        <v>0.67100000000000004</v>
      </c>
      <c r="S45" s="21">
        <f>(3.09/3.03)/(3.09/3.27)</f>
        <v>1.0792079207920793</v>
      </c>
      <c r="T45" s="21">
        <f>(2.7/3.03)/(2.83/3.27)</f>
        <v>1.0296329986355526</v>
      </c>
      <c r="U45" s="6"/>
    </row>
    <row r="46" spans="2:21" x14ac:dyDescent="0.35">
      <c r="B46" s="46" t="s">
        <v>973</v>
      </c>
      <c r="C46" s="12">
        <v>87</v>
      </c>
      <c r="D46" s="12" t="s">
        <v>620</v>
      </c>
      <c r="E46" s="18"/>
      <c r="F46" s="12">
        <v>87</v>
      </c>
      <c r="G46" s="12" t="s">
        <v>641</v>
      </c>
      <c r="H46" s="18"/>
      <c r="I46" s="12">
        <v>87</v>
      </c>
      <c r="J46" s="12" t="s">
        <v>662</v>
      </c>
      <c r="K46" s="23"/>
      <c r="L46" s="47" t="s">
        <v>680</v>
      </c>
      <c r="M46" s="43"/>
      <c r="N46" s="47" t="s">
        <v>704</v>
      </c>
      <c r="O46" s="12"/>
      <c r="P46" s="16"/>
      <c r="Q46" s="12"/>
      <c r="R46" s="18"/>
      <c r="S46" s="12"/>
      <c r="T46" s="12"/>
      <c r="U46" s="6"/>
    </row>
    <row r="47" spans="2:21" ht="3" customHeight="1" x14ac:dyDescent="0.35">
      <c r="B47" s="46"/>
      <c r="C47" s="12"/>
      <c r="D47" s="12"/>
      <c r="E47" s="18"/>
      <c r="F47" s="12"/>
      <c r="G47" s="12"/>
      <c r="H47" s="18"/>
      <c r="I47" s="12"/>
      <c r="J47" s="12"/>
      <c r="K47" s="23"/>
      <c r="L47" s="49"/>
      <c r="M47" s="43"/>
      <c r="N47" s="49"/>
      <c r="O47" s="12"/>
      <c r="P47" s="16"/>
      <c r="Q47" s="12"/>
      <c r="R47" s="18"/>
      <c r="S47" s="12"/>
      <c r="T47" s="12"/>
      <c r="U47" s="6"/>
    </row>
    <row r="48" spans="2:21" x14ac:dyDescent="0.35">
      <c r="B48" s="152" t="s">
        <v>883</v>
      </c>
      <c r="C48" s="25">
        <v>55</v>
      </c>
      <c r="D48" s="25" t="s">
        <v>621</v>
      </c>
      <c r="E48" s="56">
        <v>0.64500000000000002</v>
      </c>
      <c r="F48" s="25">
        <v>54</v>
      </c>
      <c r="G48" s="25" t="s">
        <v>621</v>
      </c>
      <c r="H48" s="56">
        <v>0.89400000000000002</v>
      </c>
      <c r="I48" s="25">
        <v>54</v>
      </c>
      <c r="J48" s="25" t="s">
        <v>663</v>
      </c>
      <c r="K48" s="56">
        <v>0.65400000000000003</v>
      </c>
      <c r="L48" s="153" t="s">
        <v>679</v>
      </c>
      <c r="M48" s="43"/>
      <c r="N48" s="57" t="s">
        <v>705</v>
      </c>
      <c r="O48" s="25" t="s">
        <v>714</v>
      </c>
      <c r="P48" s="56">
        <v>0.81799999999999995</v>
      </c>
      <c r="Q48" s="25" t="s">
        <v>724</v>
      </c>
      <c r="R48" s="56">
        <v>0.99299999999999999</v>
      </c>
      <c r="S48" s="27">
        <f>(2.93/2.93)/(2.93/3.03)</f>
        <v>1.0341296928327643</v>
      </c>
      <c r="T48" s="27">
        <f>(2.62/2.93)/(2.72/3.03)</f>
        <v>0.99611021883155981</v>
      </c>
      <c r="U48" s="6"/>
    </row>
    <row r="49" spans="2:21" ht="16" customHeight="1" x14ac:dyDescent="0.35">
      <c r="B49" s="58" t="s">
        <v>974</v>
      </c>
      <c r="C49" s="34">
        <v>54</v>
      </c>
      <c r="D49" s="34" t="s">
        <v>622</v>
      </c>
      <c r="E49" s="59"/>
      <c r="F49" s="34">
        <v>54</v>
      </c>
      <c r="G49" s="34" t="s">
        <v>621</v>
      </c>
      <c r="H49" s="34"/>
      <c r="I49" s="34">
        <v>55</v>
      </c>
      <c r="J49" s="34" t="s">
        <v>664</v>
      </c>
      <c r="K49" s="2"/>
      <c r="L49" s="154" t="s">
        <v>681</v>
      </c>
      <c r="M49" s="34"/>
      <c r="N49" s="154" t="s">
        <v>705</v>
      </c>
      <c r="O49" s="34"/>
      <c r="P49" s="34"/>
      <c r="Q49" s="34"/>
      <c r="R49" s="34"/>
      <c r="S49" s="34"/>
      <c r="T49" s="34"/>
      <c r="U49" s="6"/>
    </row>
    <row r="50" spans="2:21" ht="18.5" customHeight="1" x14ac:dyDescent="0.35">
      <c r="B50" s="13" t="s">
        <v>33</v>
      </c>
      <c r="C50" s="12"/>
      <c r="D50" s="12"/>
      <c r="E50" s="18"/>
      <c r="F50" s="12"/>
      <c r="G50" s="12"/>
      <c r="H50" s="16"/>
      <c r="I50" s="12"/>
      <c r="J50" s="12"/>
      <c r="K50" s="16"/>
      <c r="L50" s="12"/>
      <c r="M50" s="12"/>
      <c r="N50" s="12"/>
      <c r="O50" s="12"/>
      <c r="P50" s="16"/>
      <c r="Q50" s="12"/>
      <c r="R50" s="16"/>
      <c r="S50" s="12"/>
      <c r="T50" s="12"/>
      <c r="U50" s="6"/>
    </row>
    <row r="51" spans="2:21" ht="16" customHeight="1" x14ac:dyDescent="0.35">
      <c r="B51" s="46" t="s">
        <v>5</v>
      </c>
      <c r="C51" s="12">
        <v>69</v>
      </c>
      <c r="D51" s="12" t="s">
        <v>751</v>
      </c>
      <c r="E51" s="18">
        <v>0.5</v>
      </c>
      <c r="F51" s="12">
        <v>69</v>
      </c>
      <c r="G51" s="12" t="s">
        <v>772</v>
      </c>
      <c r="H51" s="18">
        <v>0.16800000000000001</v>
      </c>
      <c r="I51" s="12">
        <v>68</v>
      </c>
      <c r="J51" s="12" t="s">
        <v>798</v>
      </c>
      <c r="K51" s="18">
        <v>0.14499999999999999</v>
      </c>
      <c r="L51" s="19" t="s">
        <v>825</v>
      </c>
      <c r="M51" s="12"/>
      <c r="N51" s="20" t="s">
        <v>850</v>
      </c>
      <c r="O51" s="19" t="s">
        <v>684</v>
      </c>
      <c r="P51" s="18">
        <v>0.61699999999999999</v>
      </c>
      <c r="Q51" s="19" t="s">
        <v>869</v>
      </c>
      <c r="R51" s="18">
        <v>0.56999999999999995</v>
      </c>
      <c r="S51" s="21">
        <f>(1.09/1.14)/(1.2/1.19)</f>
        <v>0.94817251461988328</v>
      </c>
      <c r="T51" s="21">
        <f>(0.94/1.14)/(1.05/1.19)</f>
        <v>0.93450292397660806</v>
      </c>
      <c r="U51" s="6"/>
    </row>
    <row r="52" spans="2:21" ht="16" customHeight="1" x14ac:dyDescent="0.35">
      <c r="B52" s="46" t="s">
        <v>976</v>
      </c>
      <c r="C52" s="12">
        <v>66</v>
      </c>
      <c r="D52" s="12" t="s">
        <v>752</v>
      </c>
      <c r="E52" s="18"/>
      <c r="F52" s="12">
        <v>66</v>
      </c>
      <c r="G52" s="21" t="s">
        <v>773</v>
      </c>
      <c r="H52" s="16"/>
      <c r="I52" s="12">
        <v>63</v>
      </c>
      <c r="J52" s="12" t="s">
        <v>799</v>
      </c>
      <c r="K52" s="16"/>
      <c r="L52" s="12" t="s">
        <v>813</v>
      </c>
      <c r="M52" s="12"/>
      <c r="N52" s="19" t="s">
        <v>851</v>
      </c>
      <c r="O52" s="12"/>
      <c r="P52" s="16"/>
      <c r="Q52" s="12"/>
      <c r="R52" s="16"/>
      <c r="S52" s="12"/>
      <c r="T52" s="12"/>
      <c r="U52" s="6"/>
    </row>
    <row r="53" spans="2:21" ht="3" customHeight="1" x14ac:dyDescent="0.35">
      <c r="B53" s="46"/>
      <c r="C53" s="12"/>
      <c r="D53" s="12"/>
      <c r="E53" s="18"/>
      <c r="F53" s="12"/>
      <c r="G53" s="12"/>
      <c r="H53" s="16"/>
      <c r="I53" s="12"/>
      <c r="J53" s="12"/>
      <c r="K53" s="16"/>
      <c r="L53" s="12"/>
      <c r="M53" s="12"/>
      <c r="N53" s="12"/>
      <c r="O53" s="12"/>
      <c r="P53" s="16"/>
      <c r="Q53" s="12"/>
      <c r="R53" s="16"/>
      <c r="S53" s="12"/>
      <c r="T53" s="12"/>
      <c r="U53" s="6"/>
    </row>
    <row r="54" spans="2:21" ht="16" customHeight="1" x14ac:dyDescent="0.35">
      <c r="B54" s="46" t="s">
        <v>4</v>
      </c>
      <c r="C54" s="12">
        <v>88</v>
      </c>
      <c r="D54" s="12" t="s">
        <v>744</v>
      </c>
      <c r="E54" s="18">
        <v>0.13400000000000001</v>
      </c>
      <c r="F54" s="12">
        <v>87</v>
      </c>
      <c r="G54" s="12" t="s">
        <v>774</v>
      </c>
      <c r="H54" s="18">
        <v>0.34</v>
      </c>
      <c r="I54" s="12">
        <v>85</v>
      </c>
      <c r="J54" s="12" t="s">
        <v>800</v>
      </c>
      <c r="K54" s="18">
        <v>0.26900000000000002</v>
      </c>
      <c r="L54" s="12" t="s">
        <v>822</v>
      </c>
      <c r="M54" s="12"/>
      <c r="N54" s="20" t="s">
        <v>852</v>
      </c>
      <c r="O54" s="12" t="s">
        <v>820</v>
      </c>
      <c r="P54" s="18">
        <v>0.70199999999999996</v>
      </c>
      <c r="Q54" s="12" t="s">
        <v>859</v>
      </c>
      <c r="R54" s="18">
        <v>0.78700000000000003</v>
      </c>
      <c r="S54" s="21">
        <f>(1.08/1.07)/(1.15/1.17)</f>
        <v>1.0268996342950023</v>
      </c>
      <c r="T54" s="21">
        <f>(0.97/1.07)/(1.05/1.17)</f>
        <v>1.0101468624833108</v>
      </c>
      <c r="U54" s="6"/>
    </row>
    <row r="55" spans="2:21" ht="16" customHeight="1" x14ac:dyDescent="0.35">
      <c r="B55" s="46" t="s">
        <v>973</v>
      </c>
      <c r="C55" s="12">
        <v>87</v>
      </c>
      <c r="D55" s="12" t="s">
        <v>743</v>
      </c>
      <c r="E55" s="18"/>
      <c r="F55" s="12">
        <v>87</v>
      </c>
      <c r="G55" s="12" t="s">
        <v>775</v>
      </c>
      <c r="H55" s="16"/>
      <c r="I55" s="12">
        <v>87</v>
      </c>
      <c r="J55" s="12" t="s">
        <v>801</v>
      </c>
      <c r="K55" s="16"/>
      <c r="L55" s="19" t="s">
        <v>823</v>
      </c>
      <c r="M55" s="12"/>
      <c r="N55" s="19" t="s">
        <v>840</v>
      </c>
      <c r="O55" s="12"/>
      <c r="P55" s="16"/>
      <c r="Q55" s="12"/>
      <c r="R55" s="16"/>
      <c r="S55" s="12"/>
      <c r="T55" s="12"/>
      <c r="U55" s="6"/>
    </row>
    <row r="56" spans="2:21" ht="3" customHeight="1" x14ac:dyDescent="0.35">
      <c r="B56" s="46"/>
      <c r="C56" s="12"/>
      <c r="D56" s="12"/>
      <c r="E56" s="18"/>
      <c r="F56" s="12"/>
      <c r="G56" s="12"/>
      <c r="H56" s="16"/>
      <c r="I56" s="12"/>
      <c r="J56" s="12"/>
      <c r="K56" s="16"/>
      <c r="L56" s="12"/>
      <c r="M56" s="12"/>
      <c r="N56" s="12"/>
      <c r="O56" s="12"/>
      <c r="P56" s="16"/>
      <c r="Q56" s="12"/>
      <c r="R56" s="16"/>
      <c r="S56" s="12"/>
      <c r="T56" s="12"/>
      <c r="U56" s="6"/>
    </row>
    <row r="57" spans="2:21" ht="16" customHeight="1" x14ac:dyDescent="0.35">
      <c r="B57" s="46" t="s">
        <v>883</v>
      </c>
      <c r="C57" s="12">
        <v>55</v>
      </c>
      <c r="D57" s="21" t="s">
        <v>742</v>
      </c>
      <c r="E57" s="18">
        <v>3.7999999999999999E-2</v>
      </c>
      <c r="F57" s="12">
        <v>54</v>
      </c>
      <c r="G57" s="21" t="s">
        <v>742</v>
      </c>
      <c r="H57" s="18">
        <v>0.10299999999999999</v>
      </c>
      <c r="I57" s="12">
        <v>54</v>
      </c>
      <c r="J57" s="12" t="s">
        <v>802</v>
      </c>
      <c r="K57" s="18">
        <v>0.11</v>
      </c>
      <c r="L57" s="19" t="s">
        <v>826</v>
      </c>
      <c r="M57" s="12"/>
      <c r="N57" s="19" t="s">
        <v>839</v>
      </c>
      <c r="O57" s="12" t="s">
        <v>862</v>
      </c>
      <c r="P57" s="18">
        <v>0.753</v>
      </c>
      <c r="Q57" s="12" t="s">
        <v>871</v>
      </c>
      <c r="R57" s="18">
        <v>0.73199999999999998</v>
      </c>
      <c r="S57" s="21">
        <f>(1/1)/(1.13/1.17)</f>
        <v>1.0353982300884956</v>
      </c>
      <c r="T57" s="21">
        <f>(0.92/1)/(1.05/1.17)</f>
        <v>1.0251428571428571</v>
      </c>
      <c r="U57" s="6"/>
    </row>
    <row r="58" spans="2:21" ht="16" customHeight="1" x14ac:dyDescent="0.35">
      <c r="B58" s="46" t="s">
        <v>974</v>
      </c>
      <c r="C58" s="25">
        <v>54</v>
      </c>
      <c r="D58" s="25" t="s">
        <v>741</v>
      </c>
      <c r="E58" s="25"/>
      <c r="F58" s="25">
        <v>54</v>
      </c>
      <c r="G58" s="25" t="s">
        <v>776</v>
      </c>
      <c r="H58" s="25"/>
      <c r="I58" s="25">
        <v>55</v>
      </c>
      <c r="J58" s="25" t="s">
        <v>799</v>
      </c>
      <c r="K58" s="25"/>
      <c r="L58" s="28" t="s">
        <v>825</v>
      </c>
      <c r="M58" s="25"/>
      <c r="N58" s="28" t="s">
        <v>838</v>
      </c>
      <c r="O58" s="25"/>
      <c r="P58" s="25"/>
      <c r="Q58" s="25"/>
      <c r="R58" s="25"/>
      <c r="S58" s="25"/>
      <c r="T58" s="25"/>
      <c r="U58" s="6"/>
    </row>
    <row r="59" spans="2:21" ht="16" customHeight="1" x14ac:dyDescent="0.35">
      <c r="B59" s="13" t="s">
        <v>32</v>
      </c>
      <c r="C59" s="12"/>
      <c r="D59" s="12"/>
      <c r="E59" s="18"/>
      <c r="F59" s="12"/>
      <c r="G59" s="12"/>
      <c r="H59" s="16"/>
      <c r="I59" s="12"/>
      <c r="J59" s="12"/>
      <c r="K59" s="16"/>
      <c r="L59" s="6"/>
      <c r="M59" s="6"/>
      <c r="N59" s="6"/>
      <c r="O59" s="6"/>
      <c r="P59" s="23"/>
      <c r="Q59" s="6"/>
      <c r="R59" s="23"/>
      <c r="S59" s="12"/>
      <c r="T59" s="12"/>
      <c r="U59" s="6"/>
    </row>
    <row r="60" spans="2:21" ht="16" customHeight="1" x14ac:dyDescent="0.35">
      <c r="B60" s="46" t="s">
        <v>5</v>
      </c>
      <c r="C60" s="12">
        <v>69</v>
      </c>
      <c r="D60" s="12" t="s">
        <v>745</v>
      </c>
      <c r="E60" s="18">
        <v>0.374</v>
      </c>
      <c r="F60" s="12">
        <v>69</v>
      </c>
      <c r="G60" s="12" t="s">
        <v>767</v>
      </c>
      <c r="H60" s="18">
        <v>0.30299999999999999</v>
      </c>
      <c r="I60" s="12">
        <v>68</v>
      </c>
      <c r="J60" s="12" t="s">
        <v>794</v>
      </c>
      <c r="K60" s="18">
        <v>0.48399999999999999</v>
      </c>
      <c r="L60" s="19" t="s">
        <v>824</v>
      </c>
      <c r="M60" s="12"/>
      <c r="N60" s="19" t="s">
        <v>527</v>
      </c>
      <c r="O60" s="19" t="s">
        <v>450</v>
      </c>
      <c r="P60" s="18">
        <v>0.92100000000000004</v>
      </c>
      <c r="Q60" s="12" t="s">
        <v>867</v>
      </c>
      <c r="R60" s="18">
        <v>0.9</v>
      </c>
      <c r="S60" s="21">
        <f>(1.48/1.51)/(1.6/1.61)</f>
        <v>0.98625827814569533</v>
      </c>
      <c r="T60" s="21">
        <f>(1.28/1.51)/(1.36/1.61)</f>
        <v>1.0035060381768601</v>
      </c>
      <c r="U60" s="6"/>
    </row>
    <row r="61" spans="2:21" ht="16" customHeight="1" x14ac:dyDescent="0.35">
      <c r="B61" s="46" t="s">
        <v>976</v>
      </c>
      <c r="C61" s="12">
        <v>66</v>
      </c>
      <c r="D61" s="12" t="s">
        <v>746</v>
      </c>
      <c r="E61" s="18"/>
      <c r="F61" s="12">
        <v>66</v>
      </c>
      <c r="G61" s="21" t="s">
        <v>768</v>
      </c>
      <c r="H61" s="16"/>
      <c r="I61" s="12">
        <v>63</v>
      </c>
      <c r="J61" s="12" t="s">
        <v>795</v>
      </c>
      <c r="K61" s="16"/>
      <c r="L61" s="19" t="s">
        <v>809</v>
      </c>
      <c r="M61" s="12"/>
      <c r="N61" s="19" t="s">
        <v>847</v>
      </c>
      <c r="O61" s="12"/>
      <c r="P61" s="16"/>
      <c r="Q61" s="12"/>
      <c r="R61" s="16"/>
      <c r="S61" s="12"/>
      <c r="T61" s="12"/>
      <c r="U61" s="6"/>
    </row>
    <row r="62" spans="2:21" ht="3" customHeight="1" x14ac:dyDescent="0.35">
      <c r="B62" s="46"/>
      <c r="C62" s="12"/>
      <c r="D62" s="12"/>
      <c r="E62" s="18"/>
      <c r="F62" s="12"/>
      <c r="G62" s="12"/>
      <c r="H62" s="16"/>
      <c r="I62" s="12"/>
      <c r="J62" s="12"/>
      <c r="K62" s="16"/>
      <c r="L62" s="12"/>
      <c r="M62" s="12"/>
      <c r="N62" s="12"/>
      <c r="O62" s="12"/>
      <c r="P62" s="16"/>
      <c r="Q62" s="6"/>
      <c r="R62" s="23"/>
      <c r="S62" s="12"/>
      <c r="T62" s="12"/>
      <c r="U62" s="6"/>
    </row>
    <row r="63" spans="2:21" ht="16" customHeight="1" x14ac:dyDescent="0.35">
      <c r="B63" s="46" t="s">
        <v>4</v>
      </c>
      <c r="C63" s="12">
        <v>88</v>
      </c>
      <c r="D63" s="12" t="s">
        <v>747</v>
      </c>
      <c r="E63" s="18">
        <v>0.127</v>
      </c>
      <c r="F63" s="12">
        <v>87</v>
      </c>
      <c r="G63" s="12" t="s">
        <v>769</v>
      </c>
      <c r="H63" s="18">
        <v>0.71199999999999997</v>
      </c>
      <c r="I63" s="12">
        <v>85</v>
      </c>
      <c r="J63" s="12" t="s">
        <v>796</v>
      </c>
      <c r="K63" s="18">
        <v>0.57099999999999995</v>
      </c>
      <c r="L63" s="12" t="s">
        <v>820</v>
      </c>
      <c r="M63" s="12"/>
      <c r="N63" s="19" t="s">
        <v>848</v>
      </c>
      <c r="O63" s="12" t="s">
        <v>860</v>
      </c>
      <c r="P63" s="18">
        <v>0.41399999999999998</v>
      </c>
      <c r="Q63" s="12" t="s">
        <v>868</v>
      </c>
      <c r="R63" s="18">
        <v>0.5</v>
      </c>
      <c r="S63" s="21">
        <f>(1.42/1.38)/(1.46/1.52)</f>
        <v>1.071272582886639</v>
      </c>
      <c r="T63" s="21">
        <f>(1.23/1.38)/(1.28/1.52)</f>
        <v>1.0584239130434785</v>
      </c>
      <c r="U63" s="6"/>
    </row>
    <row r="64" spans="2:21" ht="16" customHeight="1" x14ac:dyDescent="0.35">
      <c r="B64" s="46" t="s">
        <v>973</v>
      </c>
      <c r="C64" s="12">
        <v>87</v>
      </c>
      <c r="D64" s="12" t="s">
        <v>748</v>
      </c>
      <c r="E64" s="18"/>
      <c r="F64" s="12">
        <v>87</v>
      </c>
      <c r="G64" s="12" t="s">
        <v>410</v>
      </c>
      <c r="H64" s="16"/>
      <c r="I64" s="12">
        <v>87</v>
      </c>
      <c r="J64" s="12" t="s">
        <v>797</v>
      </c>
      <c r="K64" s="16"/>
      <c r="L64" s="19" t="s">
        <v>821</v>
      </c>
      <c r="M64" s="12"/>
      <c r="N64" s="19" t="s">
        <v>849</v>
      </c>
      <c r="O64" s="6"/>
      <c r="P64" s="23"/>
      <c r="Q64" s="6"/>
      <c r="R64" s="23"/>
      <c r="S64" s="12"/>
      <c r="T64" s="12"/>
      <c r="U64" s="6"/>
    </row>
    <row r="65" spans="2:21" ht="3" customHeight="1" x14ac:dyDescent="0.35">
      <c r="B65" s="46"/>
      <c r="C65" s="12"/>
      <c r="D65" s="12"/>
      <c r="E65" s="18"/>
      <c r="F65" s="12"/>
      <c r="G65" s="12"/>
      <c r="H65" s="16"/>
      <c r="I65" s="12"/>
      <c r="J65" s="12"/>
      <c r="K65" s="16"/>
      <c r="L65" s="6"/>
      <c r="M65" s="6"/>
      <c r="N65" s="6"/>
      <c r="O65" s="6"/>
      <c r="P65" s="23"/>
      <c r="Q65" s="6"/>
      <c r="R65" s="23"/>
      <c r="S65" s="12"/>
      <c r="T65" s="12"/>
      <c r="U65" s="6"/>
    </row>
    <row r="66" spans="2:21" ht="16" customHeight="1" x14ac:dyDescent="0.35">
      <c r="B66" s="46" t="s">
        <v>883</v>
      </c>
      <c r="C66" s="12">
        <v>55</v>
      </c>
      <c r="D66" s="21" t="s">
        <v>749</v>
      </c>
      <c r="E66" s="18">
        <v>0.38800000000000001</v>
      </c>
      <c r="F66" s="12">
        <v>54</v>
      </c>
      <c r="G66" s="12" t="s">
        <v>770</v>
      </c>
      <c r="H66" s="18">
        <v>0.65</v>
      </c>
      <c r="I66" s="12">
        <v>54</v>
      </c>
      <c r="J66" s="12" t="s">
        <v>366</v>
      </c>
      <c r="K66" s="18">
        <v>0.49</v>
      </c>
      <c r="L66" s="12" t="s">
        <v>676</v>
      </c>
      <c r="M66" s="12"/>
      <c r="N66" s="19" t="s">
        <v>530</v>
      </c>
      <c r="O66" s="12" t="s">
        <v>861</v>
      </c>
      <c r="P66" s="18">
        <v>0.77400000000000002</v>
      </c>
      <c r="Q66" s="12" t="s">
        <v>867</v>
      </c>
      <c r="R66" s="18">
        <v>0.90200000000000002</v>
      </c>
      <c r="S66" s="21">
        <f>(1.32/1.3)/(1.37/1.4)</f>
        <v>1.0376193149915776</v>
      </c>
      <c r="T66" s="21">
        <f>(1.16/1.3)/(1.24/1.4)</f>
        <v>1.0074441687344911</v>
      </c>
      <c r="U66" s="6"/>
    </row>
    <row r="67" spans="2:21" ht="16" customHeight="1" x14ac:dyDescent="0.35">
      <c r="B67" s="46" t="s">
        <v>974</v>
      </c>
      <c r="C67" s="12">
        <v>54</v>
      </c>
      <c r="D67" s="21" t="s">
        <v>750</v>
      </c>
      <c r="E67" s="18"/>
      <c r="F67" s="12">
        <v>54</v>
      </c>
      <c r="G67" s="12" t="s">
        <v>771</v>
      </c>
      <c r="H67" s="16"/>
      <c r="I67" s="12">
        <v>55</v>
      </c>
      <c r="J67" s="12" t="s">
        <v>321</v>
      </c>
      <c r="K67" s="16"/>
      <c r="L67" s="19" t="s">
        <v>824</v>
      </c>
      <c r="M67" s="12"/>
      <c r="N67" s="19" t="s">
        <v>529</v>
      </c>
      <c r="O67" s="12"/>
      <c r="P67" s="16"/>
      <c r="Q67" s="12"/>
      <c r="R67" s="16"/>
      <c r="S67" s="12"/>
      <c r="T67" s="12"/>
      <c r="U67" s="6"/>
    </row>
    <row r="68" spans="2:21" ht="16" customHeight="1" x14ac:dyDescent="0.35">
      <c r="B68" s="13" t="s">
        <v>971</v>
      </c>
      <c r="C68" s="12"/>
      <c r="D68" s="12"/>
      <c r="E68" s="18"/>
      <c r="F68" s="12"/>
      <c r="G68" s="12"/>
      <c r="H68" s="16"/>
      <c r="I68" s="12"/>
      <c r="J68" s="12"/>
      <c r="K68" s="16"/>
      <c r="L68" s="6"/>
      <c r="M68" s="6"/>
      <c r="N68" s="6"/>
      <c r="O68" s="6"/>
      <c r="P68" s="23"/>
      <c r="Q68" s="6"/>
      <c r="R68" s="23"/>
      <c r="S68" s="12"/>
      <c r="T68" s="12"/>
      <c r="U68" s="6"/>
    </row>
    <row r="69" spans="2:21" ht="16" customHeight="1" x14ac:dyDescent="0.35">
      <c r="B69" s="46" t="s">
        <v>5</v>
      </c>
      <c r="C69" s="12">
        <v>69</v>
      </c>
      <c r="D69" s="12" t="s">
        <v>735</v>
      </c>
      <c r="E69" s="18">
        <v>0.25600000000000001</v>
      </c>
      <c r="F69" s="12">
        <v>69</v>
      </c>
      <c r="G69" s="12" t="s">
        <v>738</v>
      </c>
      <c r="H69" s="18">
        <v>0.109</v>
      </c>
      <c r="I69" s="12">
        <v>68</v>
      </c>
      <c r="J69" s="12" t="s">
        <v>788</v>
      </c>
      <c r="K69" s="18">
        <v>9.9000000000000005E-2</v>
      </c>
      <c r="L69" s="19" t="s">
        <v>814</v>
      </c>
      <c r="M69" s="12"/>
      <c r="N69" s="19" t="s">
        <v>841</v>
      </c>
      <c r="O69" s="19" t="s">
        <v>457</v>
      </c>
      <c r="P69" s="18">
        <v>0.74</v>
      </c>
      <c r="Q69" s="19" t="s">
        <v>870</v>
      </c>
      <c r="R69" s="18">
        <v>0.70499999999999996</v>
      </c>
      <c r="S69" s="21">
        <f>(1.69/1.73)/(1.8/1.81)</f>
        <v>0.98230571612074502</v>
      </c>
      <c r="T69" s="21">
        <f>(1.48/1.73)/(1.6/1.81)</f>
        <v>0.96777456647398841</v>
      </c>
      <c r="U69" s="6"/>
    </row>
    <row r="70" spans="2:21" ht="16" customHeight="1" x14ac:dyDescent="0.35">
      <c r="B70" s="46" t="s">
        <v>976</v>
      </c>
      <c r="C70" s="12">
        <v>66</v>
      </c>
      <c r="D70" s="12" t="s">
        <v>736</v>
      </c>
      <c r="E70" s="18"/>
      <c r="F70" s="12">
        <v>66</v>
      </c>
      <c r="G70" s="21" t="s">
        <v>763</v>
      </c>
      <c r="H70" s="16"/>
      <c r="I70" s="12">
        <v>63</v>
      </c>
      <c r="J70" s="21" t="s">
        <v>789</v>
      </c>
      <c r="K70" s="16"/>
      <c r="L70" s="19" t="s">
        <v>815</v>
      </c>
      <c r="M70" s="12"/>
      <c r="N70" s="19" t="s">
        <v>842</v>
      </c>
      <c r="O70" s="6"/>
      <c r="P70" s="23"/>
      <c r="Q70" s="6"/>
      <c r="R70" s="23"/>
      <c r="S70" s="12"/>
      <c r="T70" s="12"/>
      <c r="U70" s="6"/>
    </row>
    <row r="71" spans="2:21" ht="3" customHeight="1" x14ac:dyDescent="0.35">
      <c r="B71" s="46"/>
      <c r="C71" s="12"/>
      <c r="D71" s="12"/>
      <c r="E71" s="18"/>
      <c r="F71" s="12"/>
      <c r="G71" s="12"/>
      <c r="H71" s="16"/>
      <c r="I71" s="12"/>
      <c r="J71" s="12"/>
      <c r="K71" s="16"/>
      <c r="L71" s="6"/>
      <c r="M71" s="6"/>
      <c r="N71" s="6"/>
      <c r="O71" s="6"/>
      <c r="P71" s="23"/>
      <c r="Q71" s="6"/>
      <c r="R71" s="23"/>
      <c r="S71" s="12"/>
      <c r="T71" s="12"/>
      <c r="U71" s="6"/>
    </row>
    <row r="72" spans="2:21" ht="16" customHeight="1" x14ac:dyDescent="0.35">
      <c r="B72" s="46" t="s">
        <v>4</v>
      </c>
      <c r="C72" s="12">
        <v>88</v>
      </c>
      <c r="D72" s="12" t="s">
        <v>737</v>
      </c>
      <c r="E72" s="18">
        <v>0.38</v>
      </c>
      <c r="F72" s="12">
        <v>87</v>
      </c>
      <c r="G72" s="12" t="s">
        <v>737</v>
      </c>
      <c r="H72" s="18">
        <v>0.69799999999999995</v>
      </c>
      <c r="I72" s="12">
        <v>85</v>
      </c>
      <c r="J72" s="12" t="s">
        <v>790</v>
      </c>
      <c r="K72" s="18">
        <v>0.55700000000000005</v>
      </c>
      <c r="L72" s="12" t="s">
        <v>816</v>
      </c>
      <c r="M72" s="12"/>
      <c r="N72" s="19" t="s">
        <v>843</v>
      </c>
      <c r="O72" s="12" t="s">
        <v>859</v>
      </c>
      <c r="P72" s="18">
        <v>0.73099999999999998</v>
      </c>
      <c r="Q72" s="12" t="s">
        <v>866</v>
      </c>
      <c r="R72" s="18">
        <v>0.84099999999999997</v>
      </c>
      <c r="S72" s="21">
        <f>(1.63/1.63)/(1.66/1.69)</f>
        <v>1.0180722891566265</v>
      </c>
      <c r="T72" s="21">
        <f>(1.46/1.63)/(1.5/1.69)</f>
        <v>1.0091615541922292</v>
      </c>
      <c r="U72" s="6"/>
    </row>
    <row r="73" spans="2:21" ht="16" customHeight="1" x14ac:dyDescent="0.35">
      <c r="B73" s="46" t="s">
        <v>973</v>
      </c>
      <c r="C73" s="12">
        <v>87</v>
      </c>
      <c r="D73" s="21" t="s">
        <v>738</v>
      </c>
      <c r="E73" s="18"/>
      <c r="F73" s="12">
        <v>87</v>
      </c>
      <c r="G73" s="12" t="s">
        <v>764</v>
      </c>
      <c r="H73" s="16"/>
      <c r="I73" s="12">
        <v>87</v>
      </c>
      <c r="J73" s="21" t="s">
        <v>791</v>
      </c>
      <c r="K73" s="16"/>
      <c r="L73" s="19" t="s">
        <v>817</v>
      </c>
      <c r="M73" s="12"/>
      <c r="N73" s="19" t="s">
        <v>844</v>
      </c>
      <c r="O73" s="6"/>
      <c r="P73" s="23"/>
      <c r="Q73" s="6"/>
      <c r="R73" s="23"/>
      <c r="S73" s="12"/>
      <c r="T73" s="12"/>
      <c r="U73" s="6"/>
    </row>
    <row r="74" spans="2:21" ht="3" customHeight="1" x14ac:dyDescent="0.35">
      <c r="B74" s="46"/>
      <c r="C74" s="12"/>
      <c r="D74" s="12"/>
      <c r="E74" s="18"/>
      <c r="F74" s="12"/>
      <c r="G74" s="12"/>
      <c r="H74" s="16"/>
      <c r="I74" s="12"/>
      <c r="J74" s="12"/>
      <c r="K74" s="16"/>
      <c r="L74" s="6"/>
      <c r="M74" s="6"/>
      <c r="N74" s="6"/>
      <c r="O74" s="6"/>
      <c r="P74" s="23"/>
      <c r="Q74" s="6"/>
      <c r="R74" s="23"/>
      <c r="S74" s="12"/>
      <c r="T74" s="12"/>
      <c r="U74" s="6"/>
    </row>
    <row r="75" spans="2:21" ht="16" customHeight="1" x14ac:dyDescent="0.35">
      <c r="B75" s="46" t="s">
        <v>883</v>
      </c>
      <c r="C75" s="12">
        <v>55</v>
      </c>
      <c r="D75" s="12" t="s">
        <v>739</v>
      </c>
      <c r="E75" s="18">
        <v>0.49</v>
      </c>
      <c r="F75" s="12">
        <v>54</v>
      </c>
      <c r="G75" s="12" t="s">
        <v>765</v>
      </c>
      <c r="H75" s="18">
        <v>0.29899999999999999</v>
      </c>
      <c r="I75" s="12">
        <v>54</v>
      </c>
      <c r="J75" s="12" t="s">
        <v>792</v>
      </c>
      <c r="K75" s="18">
        <v>0.39900000000000002</v>
      </c>
      <c r="L75" s="12" t="s">
        <v>818</v>
      </c>
      <c r="M75" s="12"/>
      <c r="N75" s="19" t="s">
        <v>845</v>
      </c>
      <c r="O75" s="12" t="s">
        <v>479</v>
      </c>
      <c r="P75" s="18">
        <v>0.80300000000000005</v>
      </c>
      <c r="Q75" s="12" t="s">
        <v>676</v>
      </c>
      <c r="R75" s="18">
        <v>0.91400000000000003</v>
      </c>
      <c r="S75" s="21">
        <f>(1.59/1.59)/(1.51/1.54)</f>
        <v>1.0198675496688743</v>
      </c>
      <c r="T75" s="21">
        <f>(1.44/1.59)/(1.38/1.54)</f>
        <v>1.010664479081214</v>
      </c>
      <c r="U75" s="6"/>
    </row>
    <row r="76" spans="2:21" ht="16" customHeight="1" x14ac:dyDescent="0.35">
      <c r="B76" s="46" t="s">
        <v>974</v>
      </c>
      <c r="C76" s="12">
        <v>54</v>
      </c>
      <c r="D76" s="12" t="s">
        <v>740</v>
      </c>
      <c r="E76" s="18"/>
      <c r="F76" s="12">
        <v>54</v>
      </c>
      <c r="G76" s="12" t="s">
        <v>766</v>
      </c>
      <c r="H76" s="16"/>
      <c r="I76" s="12">
        <v>55</v>
      </c>
      <c r="J76" s="12" t="s">
        <v>793</v>
      </c>
      <c r="K76" s="16"/>
      <c r="L76" s="19" t="s">
        <v>819</v>
      </c>
      <c r="M76" s="12"/>
      <c r="N76" s="19" t="s">
        <v>846</v>
      </c>
      <c r="O76" s="6"/>
      <c r="P76" s="23"/>
      <c r="Q76" s="6"/>
      <c r="R76" s="23"/>
      <c r="S76" s="12"/>
      <c r="T76" s="12"/>
      <c r="U76" s="6"/>
    </row>
    <row r="77" spans="2:21" x14ac:dyDescent="0.35">
      <c r="B77" s="13" t="s">
        <v>970</v>
      </c>
      <c r="C77" s="12"/>
      <c r="D77" s="12"/>
      <c r="E77" s="12"/>
      <c r="F77" s="12"/>
      <c r="G77" s="12"/>
      <c r="H77" s="16"/>
      <c r="I77" s="12"/>
      <c r="J77" s="12"/>
      <c r="K77" s="16"/>
      <c r="L77" s="12"/>
      <c r="M77" s="12"/>
      <c r="N77" s="12"/>
      <c r="O77" s="6"/>
      <c r="P77" s="23"/>
      <c r="Q77" s="6"/>
      <c r="R77" s="23"/>
      <c r="S77" s="12"/>
      <c r="T77" s="12"/>
      <c r="U77" s="6"/>
    </row>
    <row r="78" spans="2:21" x14ac:dyDescent="0.35">
      <c r="B78" s="46" t="s">
        <v>5</v>
      </c>
      <c r="C78" s="12">
        <v>69</v>
      </c>
      <c r="D78" s="12" t="s">
        <v>731</v>
      </c>
      <c r="E78" s="18">
        <v>0.38100000000000001</v>
      </c>
      <c r="F78" s="12">
        <v>69</v>
      </c>
      <c r="G78" s="21" t="s">
        <v>758</v>
      </c>
      <c r="H78" s="18">
        <v>0.215</v>
      </c>
      <c r="I78" s="12">
        <v>68</v>
      </c>
      <c r="J78" s="21" t="s">
        <v>783</v>
      </c>
      <c r="K78" s="18">
        <v>0.495</v>
      </c>
      <c r="L78" s="19" t="s">
        <v>684</v>
      </c>
      <c r="M78" s="12"/>
      <c r="N78" s="19" t="s">
        <v>833</v>
      </c>
      <c r="O78" s="19" t="s">
        <v>856</v>
      </c>
      <c r="P78" s="18">
        <v>0.79600000000000004</v>
      </c>
      <c r="Q78" s="12" t="s">
        <v>474</v>
      </c>
      <c r="R78" s="18">
        <v>0.89800000000000002</v>
      </c>
      <c r="S78" s="21">
        <f>(1.68/1.72)/(1.81/1.82)</f>
        <v>0.98214056276500061</v>
      </c>
      <c r="T78" s="21">
        <f>(1.5/1.72)/(1.57/1.82)</f>
        <v>1.0109613390608798</v>
      </c>
      <c r="U78" s="6"/>
    </row>
    <row r="79" spans="2:21" x14ac:dyDescent="0.35">
      <c r="B79" s="46" t="s">
        <v>976</v>
      </c>
      <c r="C79" s="12">
        <v>66</v>
      </c>
      <c r="D79" s="12" t="s">
        <v>732</v>
      </c>
      <c r="E79" s="18"/>
      <c r="F79" s="12">
        <v>66</v>
      </c>
      <c r="G79" s="21" t="s">
        <v>759</v>
      </c>
      <c r="H79" s="16"/>
      <c r="I79" s="12">
        <v>63</v>
      </c>
      <c r="J79" s="12" t="s">
        <v>784</v>
      </c>
      <c r="K79" s="16"/>
      <c r="L79" s="19" t="s">
        <v>809</v>
      </c>
      <c r="M79" s="12"/>
      <c r="N79" s="19" t="s">
        <v>527</v>
      </c>
      <c r="O79" s="6"/>
      <c r="P79" s="23"/>
      <c r="Q79" s="6"/>
      <c r="R79" s="23"/>
      <c r="S79" s="12"/>
      <c r="T79" s="12"/>
      <c r="U79" s="6"/>
    </row>
    <row r="80" spans="2:21" ht="3" customHeight="1" x14ac:dyDescent="0.35">
      <c r="B80" s="46"/>
      <c r="C80" s="12"/>
      <c r="D80" s="12"/>
      <c r="E80" s="18"/>
      <c r="F80" s="12"/>
      <c r="G80" s="12"/>
      <c r="H80" s="16"/>
      <c r="I80" s="12"/>
      <c r="J80" s="12"/>
      <c r="K80" s="16"/>
      <c r="L80" s="12"/>
      <c r="M80" s="12"/>
      <c r="N80" s="12"/>
      <c r="O80" s="6"/>
      <c r="P80" s="23"/>
      <c r="Q80" s="6"/>
      <c r="R80" s="23"/>
      <c r="S80" s="12"/>
      <c r="T80" s="12"/>
      <c r="U80" s="6"/>
    </row>
    <row r="81" spans="2:21" x14ac:dyDescent="0.35">
      <c r="B81" s="46" t="s">
        <v>4</v>
      </c>
      <c r="C81" s="12">
        <v>88</v>
      </c>
      <c r="D81" s="12" t="s">
        <v>355</v>
      </c>
      <c r="E81" s="18">
        <v>0.312</v>
      </c>
      <c r="F81" s="12">
        <v>87</v>
      </c>
      <c r="G81" s="21" t="s">
        <v>760</v>
      </c>
      <c r="H81" s="18">
        <v>0.69799999999999995</v>
      </c>
      <c r="I81" s="12">
        <v>85</v>
      </c>
      <c r="J81" s="12" t="s">
        <v>785</v>
      </c>
      <c r="K81" s="18">
        <v>0.42399999999999999</v>
      </c>
      <c r="L81" s="12" t="s">
        <v>458</v>
      </c>
      <c r="M81" s="12"/>
      <c r="N81" s="19" t="s">
        <v>834</v>
      </c>
      <c r="O81" s="12" t="s">
        <v>857</v>
      </c>
      <c r="P81" s="18">
        <v>0.66</v>
      </c>
      <c r="Q81" s="12" t="s">
        <v>671</v>
      </c>
      <c r="R81" s="18">
        <v>0.88500000000000001</v>
      </c>
      <c r="S81" s="21">
        <f>(1.67/1.65)/(1.7/1.75)</f>
        <v>1.0418894830659537</v>
      </c>
      <c r="T81" s="21">
        <f>(1.47/1.65)/(1.55/1.75)</f>
        <v>1.0058651026392962</v>
      </c>
      <c r="U81" s="6"/>
    </row>
    <row r="82" spans="2:21" x14ac:dyDescent="0.35">
      <c r="B82" s="46" t="s">
        <v>973</v>
      </c>
      <c r="C82" s="12">
        <v>87</v>
      </c>
      <c r="D82" s="12" t="s">
        <v>733</v>
      </c>
      <c r="E82" s="18"/>
      <c r="F82" s="12">
        <v>87</v>
      </c>
      <c r="G82" s="21" t="s">
        <v>356</v>
      </c>
      <c r="H82" s="16"/>
      <c r="I82" s="12">
        <v>87</v>
      </c>
      <c r="J82" s="12" t="s">
        <v>786</v>
      </c>
      <c r="K82" s="16"/>
      <c r="L82" s="19" t="s">
        <v>810</v>
      </c>
      <c r="M82" s="12"/>
      <c r="N82" s="20" t="s">
        <v>835</v>
      </c>
      <c r="O82" s="6"/>
      <c r="P82" s="23"/>
      <c r="Q82" s="6"/>
      <c r="R82" s="23"/>
      <c r="S82" s="12"/>
      <c r="T82" s="12"/>
      <c r="U82" s="6"/>
    </row>
    <row r="83" spans="2:21" ht="3" customHeight="1" x14ac:dyDescent="0.35">
      <c r="B83" s="46"/>
      <c r="C83" s="12"/>
      <c r="D83" s="12"/>
      <c r="E83" s="18"/>
      <c r="F83" s="12"/>
      <c r="G83" s="12"/>
      <c r="H83" s="16"/>
      <c r="I83" s="12"/>
      <c r="J83" s="12"/>
      <c r="K83" s="16"/>
      <c r="L83" s="12"/>
      <c r="M83" s="12"/>
      <c r="N83" s="12"/>
      <c r="O83" s="12"/>
      <c r="P83" s="23"/>
      <c r="Q83" s="6"/>
      <c r="R83" s="23"/>
      <c r="S83" s="12"/>
      <c r="T83" s="12"/>
      <c r="U83" s="6"/>
    </row>
    <row r="84" spans="2:21" x14ac:dyDescent="0.35">
      <c r="B84" s="46" t="s">
        <v>883</v>
      </c>
      <c r="C84" s="12">
        <v>55</v>
      </c>
      <c r="D84" s="12" t="s">
        <v>734</v>
      </c>
      <c r="E84" s="18">
        <v>0.97499999999999998</v>
      </c>
      <c r="F84" s="12">
        <v>54</v>
      </c>
      <c r="G84" s="12" t="s">
        <v>761</v>
      </c>
      <c r="H84" s="18">
        <v>0.85099999999999998</v>
      </c>
      <c r="I84" s="12">
        <v>54</v>
      </c>
      <c r="J84" s="12" t="s">
        <v>787</v>
      </c>
      <c r="K84" s="18">
        <v>0.86099999999999999</v>
      </c>
      <c r="L84" s="19" t="s">
        <v>811</v>
      </c>
      <c r="M84" s="12"/>
      <c r="N84" s="19" t="s">
        <v>836</v>
      </c>
      <c r="O84" s="12" t="s">
        <v>858</v>
      </c>
      <c r="P84" s="18">
        <v>0.877</v>
      </c>
      <c r="Q84" s="19" t="s">
        <v>467</v>
      </c>
      <c r="R84" s="18">
        <v>0.91900000000000004</v>
      </c>
      <c r="S84" s="21">
        <f>(1.62/1.63)/(1.59/1.63)</f>
        <v>1.0188679245283019</v>
      </c>
      <c r="T84" s="21">
        <f>(1.47/1.63)/(1.49/1.63)</f>
        <v>0.9865771812080536</v>
      </c>
      <c r="U84" s="6"/>
    </row>
    <row r="85" spans="2:21" x14ac:dyDescent="0.35">
      <c r="B85" s="58" t="s">
        <v>974</v>
      </c>
      <c r="C85" s="34">
        <v>54</v>
      </c>
      <c r="D85" s="34" t="s">
        <v>734</v>
      </c>
      <c r="E85" s="59"/>
      <c r="F85" s="34">
        <v>54</v>
      </c>
      <c r="G85" s="60" t="s">
        <v>762</v>
      </c>
      <c r="H85" s="61"/>
      <c r="I85" s="34">
        <v>55</v>
      </c>
      <c r="J85" s="34" t="s">
        <v>411</v>
      </c>
      <c r="K85" s="61"/>
      <c r="L85" s="35" t="s">
        <v>812</v>
      </c>
      <c r="M85" s="34"/>
      <c r="N85" s="35" t="s">
        <v>837</v>
      </c>
      <c r="O85" s="34"/>
      <c r="P85" s="62"/>
      <c r="Q85" s="2"/>
      <c r="R85" s="62"/>
      <c r="S85" s="34"/>
      <c r="T85" s="34"/>
      <c r="U85" s="6"/>
    </row>
    <row r="86" spans="2:21" s="66" customFormat="1" ht="13" x14ac:dyDescent="0.3">
      <c r="B86" s="73" t="s">
        <v>907</v>
      </c>
      <c r="C86" s="67"/>
      <c r="D86" s="67"/>
      <c r="E86" s="67"/>
      <c r="F86" s="67"/>
      <c r="G86" s="67"/>
      <c r="H86" s="67"/>
      <c r="I86" s="67"/>
      <c r="J86" s="67"/>
      <c r="K86" s="68"/>
      <c r="L86" s="74"/>
      <c r="M86" s="74"/>
      <c r="N86" s="74"/>
      <c r="O86" s="67"/>
      <c r="P86" s="67"/>
      <c r="Q86" s="67"/>
      <c r="R86" s="67"/>
      <c r="S86" s="67"/>
      <c r="T86" s="68"/>
      <c r="U86" s="68"/>
    </row>
    <row r="87" spans="2:21" s="66" customFormat="1" ht="13" x14ac:dyDescent="0.3">
      <c r="B87" s="73" t="s">
        <v>905</v>
      </c>
      <c r="C87" s="67"/>
      <c r="D87" s="67"/>
      <c r="E87" s="67"/>
      <c r="F87" s="67"/>
      <c r="G87" s="67"/>
      <c r="H87" s="67"/>
      <c r="I87" s="67"/>
      <c r="J87" s="67"/>
      <c r="K87" s="68"/>
      <c r="L87" s="74"/>
      <c r="M87" s="74"/>
      <c r="N87" s="74"/>
      <c r="O87" s="67"/>
      <c r="P87" s="67"/>
      <c r="Q87" s="67"/>
      <c r="R87" s="67"/>
      <c r="S87" s="67"/>
      <c r="T87" s="68"/>
      <c r="U87" s="68"/>
    </row>
    <row r="88" spans="2:21" s="66" customFormat="1" x14ac:dyDescent="0.3">
      <c r="B88" s="140" t="s">
        <v>1518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68"/>
      <c r="Q88" s="68"/>
      <c r="R88" s="68"/>
      <c r="S88" s="67"/>
      <c r="T88" s="68"/>
      <c r="U88" s="68"/>
    </row>
    <row r="89" spans="2:21" s="66" customFormat="1" x14ac:dyDescent="0.3">
      <c r="B89" s="141" t="s">
        <v>982</v>
      </c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</row>
    <row r="90" spans="2:21" s="66" customFormat="1" x14ac:dyDescent="0.3">
      <c r="B90" s="141" t="s">
        <v>991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</row>
    <row r="91" spans="2:21" s="66" customFormat="1" x14ac:dyDescent="0.3">
      <c r="B91" s="139" t="s">
        <v>983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</row>
    <row r="92" spans="2:21" s="66" customFormat="1" x14ac:dyDescent="0.3">
      <c r="B92" s="139" t="s">
        <v>992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</row>
    <row r="93" spans="2:21" x14ac:dyDescent="0.35">
      <c r="B93" s="151" t="s">
        <v>1520</v>
      </c>
      <c r="C93" s="6"/>
      <c r="D93" s="6"/>
      <c r="E93" s="6"/>
      <c r="F93" s="6"/>
      <c r="G93" s="6"/>
      <c r="H93" s="6"/>
      <c r="I93" s="12"/>
      <c r="J93" s="12"/>
      <c r="K93" s="12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2:21" x14ac:dyDescent="0.35">
      <c r="B94" s="151" t="s">
        <v>1521</v>
      </c>
    </row>
  </sheetData>
  <mergeCells count="12">
    <mergeCell ref="B92:U92"/>
    <mergeCell ref="B88:O88"/>
    <mergeCell ref="T3:T4"/>
    <mergeCell ref="I3:K3"/>
    <mergeCell ref="B89:U89"/>
    <mergeCell ref="B90:U90"/>
    <mergeCell ref="B91:U91"/>
    <mergeCell ref="F3:H3"/>
    <mergeCell ref="C3:E3"/>
    <mergeCell ref="Q3:R3"/>
    <mergeCell ref="O3:P3"/>
    <mergeCell ref="S3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14"/>
  <sheetViews>
    <sheetView zoomScale="85" zoomScaleNormal="85" workbookViewId="0">
      <selection activeCell="B51" sqref="B51"/>
    </sheetView>
  </sheetViews>
  <sheetFormatPr defaultColWidth="10.58203125" defaultRowHeight="15.5" x14ac:dyDescent="0.35"/>
  <cols>
    <col min="1" max="1" width="6.58203125" style="14" customWidth="1"/>
    <col min="2" max="2" width="17.58203125" style="14" customWidth="1"/>
    <col min="3" max="3" width="4.08203125" style="14" customWidth="1"/>
    <col min="4" max="4" width="10.58203125" style="14"/>
    <col min="5" max="5" width="6.08203125" style="14" customWidth="1"/>
    <col min="6" max="6" width="4.08203125" style="14" customWidth="1"/>
    <col min="7" max="7" width="10.58203125" style="14"/>
    <col min="8" max="8" width="6.08203125" style="14" customWidth="1"/>
    <col min="9" max="9" width="4" style="14" customWidth="1"/>
    <col min="10" max="10" width="10.58203125" style="14"/>
    <col min="11" max="11" width="6.08203125" style="14" customWidth="1"/>
    <col min="12" max="12" width="18.08203125" style="14" hidden="1" customWidth="1"/>
    <col min="13" max="13" width="0.5" style="14" hidden="1" customWidth="1"/>
    <col min="14" max="14" width="14.83203125" style="14" hidden="1" customWidth="1"/>
    <col min="15" max="15" width="0.5" style="14" hidden="1" customWidth="1"/>
    <col min="16" max="16" width="11.5" style="14" customWidth="1"/>
    <col min="17" max="17" width="6.33203125" style="14" customWidth="1"/>
    <col min="18" max="18" width="12" style="14" customWidth="1"/>
    <col min="19" max="19" width="7.08203125" style="14" customWidth="1"/>
    <col min="20" max="20" width="9.5" style="14" customWidth="1"/>
    <col min="21" max="21" width="7.83203125" style="14" customWidth="1"/>
    <col min="22" max="23" width="10.58203125" style="14"/>
  </cols>
  <sheetData>
    <row r="1" spans="1:23" s="14" customFormat="1" x14ac:dyDescent="0.35"/>
    <row r="2" spans="1:23" ht="18.5" x14ac:dyDescent="0.35">
      <c r="B2" s="2" t="s">
        <v>1515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2"/>
      <c r="Q2" s="2"/>
      <c r="R2" s="2"/>
      <c r="S2" s="2"/>
      <c r="T2" s="4"/>
      <c r="U2" s="5"/>
      <c r="V2" s="6"/>
      <c r="W2" s="6"/>
    </row>
    <row r="3" spans="1:23" ht="18.5" x14ac:dyDescent="0.35">
      <c r="B3" s="7"/>
      <c r="C3" s="134" t="s">
        <v>884</v>
      </c>
      <c r="D3" s="134"/>
      <c r="E3" s="134"/>
      <c r="F3" s="134" t="s">
        <v>885</v>
      </c>
      <c r="G3" s="134"/>
      <c r="H3" s="134"/>
      <c r="I3" s="134" t="s">
        <v>882</v>
      </c>
      <c r="J3" s="134"/>
      <c r="K3" s="134"/>
      <c r="L3" s="8" t="s">
        <v>895</v>
      </c>
      <c r="M3" s="9"/>
      <c r="N3" s="8" t="s">
        <v>893</v>
      </c>
      <c r="O3" s="9"/>
      <c r="P3" s="134" t="s">
        <v>932</v>
      </c>
      <c r="Q3" s="134"/>
      <c r="R3" s="134" t="s">
        <v>933</v>
      </c>
      <c r="S3" s="134"/>
      <c r="T3" s="132" t="s">
        <v>934</v>
      </c>
      <c r="U3" s="132" t="s">
        <v>935</v>
      </c>
      <c r="V3" s="6"/>
      <c r="W3" s="6"/>
    </row>
    <row r="4" spans="1:23" x14ac:dyDescent="0.35">
      <c r="B4" s="10"/>
      <c r="C4" s="10" t="s">
        <v>1</v>
      </c>
      <c r="D4" s="10" t="s">
        <v>280</v>
      </c>
      <c r="E4" s="11" t="s">
        <v>2</v>
      </c>
      <c r="F4" s="10" t="s">
        <v>1</v>
      </c>
      <c r="G4" s="10" t="s">
        <v>280</v>
      </c>
      <c r="H4" s="11" t="s">
        <v>2</v>
      </c>
      <c r="I4" s="10" t="s">
        <v>1</v>
      </c>
      <c r="J4" s="10" t="s">
        <v>280</v>
      </c>
      <c r="K4" s="11" t="s">
        <v>2</v>
      </c>
      <c r="L4" s="10" t="s">
        <v>280</v>
      </c>
      <c r="M4" s="10"/>
      <c r="N4" s="10" t="s">
        <v>280</v>
      </c>
      <c r="O4" s="10"/>
      <c r="P4" s="10" t="s">
        <v>280</v>
      </c>
      <c r="Q4" s="11" t="s">
        <v>2</v>
      </c>
      <c r="R4" s="10" t="s">
        <v>280</v>
      </c>
      <c r="S4" s="11" t="s">
        <v>2</v>
      </c>
      <c r="T4" s="133"/>
      <c r="U4" s="133"/>
      <c r="V4" s="12"/>
      <c r="W4" s="6"/>
    </row>
    <row r="5" spans="1:23" ht="18.5" x14ac:dyDescent="0.35">
      <c r="B5" s="13" t="s">
        <v>1522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6"/>
    </row>
    <row r="6" spans="1:23" x14ac:dyDescent="0.35">
      <c r="B6" s="15" t="s">
        <v>20</v>
      </c>
      <c r="C6" s="12"/>
      <c r="D6" s="12"/>
      <c r="E6" s="12"/>
      <c r="F6" s="12"/>
      <c r="G6" s="12"/>
      <c r="H6" s="12"/>
      <c r="I6" s="12"/>
      <c r="J6" s="12"/>
      <c r="K6" s="16"/>
      <c r="L6" s="12"/>
      <c r="M6" s="12"/>
      <c r="N6" s="12"/>
      <c r="O6" s="12"/>
      <c r="P6" s="12"/>
      <c r="Q6" s="12"/>
      <c r="R6" s="12"/>
      <c r="S6" s="16"/>
      <c r="T6" s="12"/>
      <c r="U6" s="12"/>
      <c r="V6" s="6"/>
    </row>
    <row r="7" spans="1:23" x14ac:dyDescent="0.35">
      <c r="B7" s="17" t="s">
        <v>5</v>
      </c>
      <c r="C7" s="12">
        <v>33</v>
      </c>
      <c r="D7" s="12" t="s">
        <v>292</v>
      </c>
      <c r="E7" s="18">
        <v>0.39100000000000001</v>
      </c>
      <c r="F7" s="12">
        <v>33</v>
      </c>
      <c r="G7" s="12" t="s">
        <v>344</v>
      </c>
      <c r="H7" s="18">
        <v>0.26700000000000002</v>
      </c>
      <c r="I7" s="12">
        <v>33</v>
      </c>
      <c r="J7" s="12" t="s">
        <v>393</v>
      </c>
      <c r="K7" s="18">
        <v>0.40699999999999997</v>
      </c>
      <c r="L7" s="19" t="s">
        <v>440</v>
      </c>
      <c r="M7" s="19"/>
      <c r="N7" s="19" t="s">
        <v>492</v>
      </c>
      <c r="O7" s="19"/>
      <c r="P7" s="20" t="s">
        <v>539</v>
      </c>
      <c r="Q7" s="18">
        <v>0.85799999999999998</v>
      </c>
      <c r="R7" s="12" t="s">
        <v>575</v>
      </c>
      <c r="S7" s="18">
        <v>0.98699999999999999</v>
      </c>
      <c r="T7" s="21">
        <f>(6.11/6.42)/(6.55/6.76)</f>
        <v>0.98222634420108923</v>
      </c>
      <c r="U7" s="21">
        <f>(5.43/6.42)/(5.76/6.76)</f>
        <v>0.99263369678089297</v>
      </c>
      <c r="V7" s="6"/>
    </row>
    <row r="8" spans="1:23" x14ac:dyDescent="0.35">
      <c r="B8" s="17" t="s">
        <v>4</v>
      </c>
      <c r="C8" s="12">
        <v>33</v>
      </c>
      <c r="D8" s="12" t="s">
        <v>293</v>
      </c>
      <c r="E8" s="18">
        <v>9.4E-2</v>
      </c>
      <c r="F8" s="12">
        <v>33</v>
      </c>
      <c r="G8" s="12" t="s">
        <v>345</v>
      </c>
      <c r="H8" s="18">
        <v>0.47699999999999998</v>
      </c>
      <c r="I8" s="12">
        <v>31</v>
      </c>
      <c r="J8" s="12" t="s">
        <v>394</v>
      </c>
      <c r="K8" s="18">
        <v>0.36899999999999999</v>
      </c>
      <c r="L8" s="12" t="s">
        <v>441</v>
      </c>
      <c r="M8" s="12"/>
      <c r="N8" s="19" t="s">
        <v>493</v>
      </c>
      <c r="O8" s="19"/>
      <c r="P8" s="12" t="s">
        <v>540</v>
      </c>
      <c r="Q8" s="18">
        <v>0.495</v>
      </c>
      <c r="R8" s="21" t="s">
        <v>576</v>
      </c>
      <c r="S8" s="18">
        <v>0.59699999999999998</v>
      </c>
      <c r="T8" s="21">
        <f>(6.27/6.09)/(6.55/6.76)</f>
        <v>1.0625653367427519</v>
      </c>
      <c r="U8" s="21">
        <f>(5.39/6.09)/(5.76/6.76)</f>
        <v>1.0387132822477649</v>
      </c>
      <c r="V8" s="6"/>
    </row>
    <row r="9" spans="1:23" x14ac:dyDescent="0.35">
      <c r="B9" s="22" t="s">
        <v>883</v>
      </c>
      <c r="C9" s="12">
        <v>36</v>
      </c>
      <c r="D9" s="12" t="s">
        <v>294</v>
      </c>
      <c r="E9" s="18">
        <v>1.6E-2</v>
      </c>
      <c r="F9" s="12">
        <v>36</v>
      </c>
      <c r="G9" s="12" t="s">
        <v>346</v>
      </c>
      <c r="H9" s="18">
        <v>5.2999999999999999E-2</v>
      </c>
      <c r="I9" s="12">
        <v>35</v>
      </c>
      <c r="J9" s="12" t="s">
        <v>395</v>
      </c>
      <c r="K9" s="18">
        <v>4.8000000000000001E-2</v>
      </c>
      <c r="L9" s="19" t="s">
        <v>442</v>
      </c>
      <c r="M9" s="19"/>
      <c r="N9" s="19" t="s">
        <v>494</v>
      </c>
      <c r="O9" s="19"/>
      <c r="P9" s="12" t="s">
        <v>541</v>
      </c>
      <c r="Q9" s="18">
        <v>0.73199999999999998</v>
      </c>
      <c r="R9" s="12" t="s">
        <v>577</v>
      </c>
      <c r="S9" s="18">
        <v>0.76900000000000002</v>
      </c>
      <c r="T9" s="21">
        <f>(5.79/5.81)/(6.55/6.76)</f>
        <v>1.0285083627859311</v>
      </c>
      <c r="U9" s="21">
        <f>(4.97/5.81)/(5.76/6.76)</f>
        <v>1.0039323962516733</v>
      </c>
      <c r="V9" s="6"/>
    </row>
    <row r="10" spans="1:23" x14ac:dyDescent="0.35">
      <c r="B10" s="17" t="s">
        <v>21</v>
      </c>
      <c r="C10" s="12">
        <v>33</v>
      </c>
      <c r="D10" s="12" t="s">
        <v>295</v>
      </c>
      <c r="E10" s="16"/>
      <c r="F10" s="12">
        <v>33</v>
      </c>
      <c r="G10" s="12" t="s">
        <v>347</v>
      </c>
      <c r="H10" s="16"/>
      <c r="I10" s="12">
        <v>32</v>
      </c>
      <c r="J10" s="12" t="s">
        <v>396</v>
      </c>
      <c r="K10" s="16"/>
      <c r="L10" s="19" t="s">
        <v>443</v>
      </c>
      <c r="M10" s="19"/>
      <c r="N10" s="20" t="s">
        <v>495</v>
      </c>
      <c r="O10" s="20"/>
      <c r="P10" s="12"/>
      <c r="Q10" s="16"/>
      <c r="R10" s="12"/>
      <c r="S10" s="16"/>
      <c r="T10" s="12"/>
      <c r="U10" s="12"/>
      <c r="V10" s="6"/>
    </row>
    <row r="11" spans="1:23" x14ac:dyDescent="0.35">
      <c r="B11" s="15" t="s">
        <v>22</v>
      </c>
      <c r="C11" s="12"/>
      <c r="D11" s="12"/>
      <c r="E11" s="16"/>
      <c r="F11" s="12"/>
      <c r="G11" s="12"/>
      <c r="H11" s="16"/>
      <c r="I11" s="12"/>
      <c r="J11" s="12"/>
      <c r="K11" s="16"/>
      <c r="L11" s="12"/>
      <c r="M11" s="12"/>
      <c r="N11" s="12"/>
      <c r="O11" s="12"/>
      <c r="P11" s="12"/>
      <c r="Q11" s="16"/>
      <c r="R11" s="12"/>
      <c r="S11" s="16"/>
      <c r="T11" s="12"/>
      <c r="U11" s="12"/>
      <c r="V11" s="6"/>
    </row>
    <row r="12" spans="1:23" x14ac:dyDescent="0.35">
      <c r="B12" s="17" t="s">
        <v>4</v>
      </c>
      <c r="C12" s="12">
        <v>19</v>
      </c>
      <c r="D12" s="12" t="s">
        <v>296</v>
      </c>
      <c r="E12" s="18">
        <v>0.443</v>
      </c>
      <c r="F12" s="12">
        <v>18</v>
      </c>
      <c r="G12" s="21" t="s">
        <v>348</v>
      </c>
      <c r="H12" s="18">
        <v>0.66700000000000004</v>
      </c>
      <c r="I12" s="12">
        <v>19</v>
      </c>
      <c r="J12" s="21" t="s">
        <v>403</v>
      </c>
      <c r="K12" s="18">
        <v>0.48199999999999998</v>
      </c>
      <c r="L12" s="21" t="s">
        <v>444</v>
      </c>
      <c r="M12" s="21"/>
      <c r="N12" s="12" t="s">
        <v>496</v>
      </c>
      <c r="O12" s="12"/>
      <c r="P12" s="19" t="s">
        <v>542</v>
      </c>
      <c r="Q12" s="18">
        <v>0.81599999999999995</v>
      </c>
      <c r="R12" s="19" t="s">
        <v>578</v>
      </c>
      <c r="S12" s="18">
        <v>0.95899999999999996</v>
      </c>
      <c r="T12" s="21">
        <f>(4.98/4.97)/(4.81/4.67)</f>
        <v>0.97284747988973352</v>
      </c>
      <c r="U12" s="21">
        <f>(5/4.97)/(4.73/4.67)</f>
        <v>0.99327465852195629</v>
      </c>
      <c r="V12" s="6"/>
    </row>
    <row r="13" spans="1:23" x14ac:dyDescent="0.35">
      <c r="B13" s="17" t="s">
        <v>21</v>
      </c>
      <c r="C13" s="12">
        <v>21</v>
      </c>
      <c r="D13" s="12" t="s">
        <v>297</v>
      </c>
      <c r="E13" s="16"/>
      <c r="F13" s="12">
        <v>21</v>
      </c>
      <c r="G13" s="12" t="s">
        <v>349</v>
      </c>
      <c r="H13" s="16"/>
      <c r="I13" s="12">
        <v>22</v>
      </c>
      <c r="J13" s="12" t="s">
        <v>404</v>
      </c>
      <c r="K13" s="16"/>
      <c r="L13" s="12" t="s">
        <v>445</v>
      </c>
      <c r="M13" s="12"/>
      <c r="N13" s="12" t="s">
        <v>497</v>
      </c>
      <c r="O13" s="12"/>
      <c r="P13" s="12"/>
      <c r="Q13" s="16"/>
      <c r="R13" s="12"/>
      <c r="S13" s="16"/>
      <c r="T13" s="12"/>
      <c r="U13" s="12"/>
      <c r="V13" s="6"/>
    </row>
    <row r="14" spans="1:23" s="1" customFormat="1" ht="18.5" x14ac:dyDescent="0.35">
      <c r="A14" s="30"/>
      <c r="B14" s="7" t="s">
        <v>1185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5"/>
      <c r="Q14" s="5"/>
      <c r="R14" s="5"/>
      <c r="S14" s="5"/>
      <c r="T14" s="5"/>
      <c r="U14" s="5"/>
      <c r="V14" s="5"/>
      <c r="W14" s="5"/>
    </row>
    <row r="15" spans="1:23" x14ac:dyDescent="0.35">
      <c r="B15" s="31" t="s">
        <v>20</v>
      </c>
      <c r="C15" s="12"/>
      <c r="D15" s="12"/>
      <c r="E15" s="16"/>
      <c r="F15" s="12"/>
      <c r="G15" s="12"/>
      <c r="H15" s="16"/>
      <c r="I15" s="12"/>
      <c r="J15" s="12"/>
      <c r="K15" s="12"/>
      <c r="L15" s="12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</row>
    <row r="16" spans="1:23" x14ac:dyDescent="0.35">
      <c r="B16" s="17" t="s">
        <v>5</v>
      </c>
      <c r="C16" s="12">
        <v>33</v>
      </c>
      <c r="D16" s="12" t="s">
        <v>281</v>
      </c>
      <c r="E16" s="18">
        <v>0.98499999999999999</v>
      </c>
      <c r="F16" s="12">
        <v>33</v>
      </c>
      <c r="G16" s="12" t="s">
        <v>333</v>
      </c>
      <c r="H16" s="18">
        <v>0.86799999999999999</v>
      </c>
      <c r="I16" s="12">
        <v>33</v>
      </c>
      <c r="J16" s="21" t="s">
        <v>383</v>
      </c>
      <c r="K16" s="18">
        <v>0.99299999999999999</v>
      </c>
      <c r="L16" s="19" t="s">
        <v>432</v>
      </c>
      <c r="M16" s="19"/>
      <c r="N16" s="19" t="s">
        <v>481</v>
      </c>
      <c r="O16" s="19"/>
      <c r="P16" s="19" t="s">
        <v>531</v>
      </c>
      <c r="Q16" s="18">
        <v>0.91700000000000004</v>
      </c>
      <c r="R16" s="12" t="s">
        <v>567</v>
      </c>
      <c r="S16" s="18">
        <v>0.995</v>
      </c>
      <c r="T16" s="21">
        <f>(2.74/2.89)/(2.77/2.89)</f>
        <v>0.98916967509025278</v>
      </c>
      <c r="U16" s="21">
        <f>(2.4/2.89)/(2.4/2.89)</f>
        <v>1</v>
      </c>
      <c r="V16" s="6"/>
      <c r="W16" s="6"/>
    </row>
    <row r="17" spans="2:23" x14ac:dyDescent="0.35">
      <c r="B17" s="17" t="s">
        <v>4</v>
      </c>
      <c r="C17" s="12">
        <v>33</v>
      </c>
      <c r="D17" s="21" t="s">
        <v>282</v>
      </c>
      <c r="E17" s="18">
        <v>0.38800000000000001</v>
      </c>
      <c r="F17" s="12">
        <v>33</v>
      </c>
      <c r="G17" s="12" t="s">
        <v>334</v>
      </c>
      <c r="H17" s="18">
        <v>0.83699999999999997</v>
      </c>
      <c r="I17" s="12">
        <v>31</v>
      </c>
      <c r="J17" s="12" t="s">
        <v>384</v>
      </c>
      <c r="K17" s="18">
        <v>0.93899999999999995</v>
      </c>
      <c r="L17" s="12" t="s">
        <v>429</v>
      </c>
      <c r="M17" s="12"/>
      <c r="N17" s="19" t="s">
        <v>482</v>
      </c>
      <c r="O17" s="19"/>
      <c r="P17" s="12" t="s">
        <v>532</v>
      </c>
      <c r="Q17" s="18">
        <v>0.45</v>
      </c>
      <c r="R17" s="12" t="s">
        <v>568</v>
      </c>
      <c r="S17" s="18">
        <v>0.51100000000000001</v>
      </c>
      <c r="T17" s="21">
        <f>(2.82/2.7)/(2.77/2.89)</f>
        <v>1.0896911351784997</v>
      </c>
      <c r="U17" s="21">
        <f>(2.42/2.7)/(2.4/2.89)</f>
        <v>1.0792901234567902</v>
      </c>
      <c r="V17" s="6"/>
      <c r="W17" s="6"/>
    </row>
    <row r="18" spans="2:23" x14ac:dyDescent="0.35">
      <c r="B18" s="22" t="s">
        <v>883</v>
      </c>
      <c r="C18" s="12">
        <v>36</v>
      </c>
      <c r="D18" s="12" t="s">
        <v>283</v>
      </c>
      <c r="E18" s="18">
        <v>3.4000000000000002E-2</v>
      </c>
      <c r="F18" s="12">
        <v>36</v>
      </c>
      <c r="G18" s="12" t="s">
        <v>283</v>
      </c>
      <c r="H18" s="18">
        <v>0.121</v>
      </c>
      <c r="I18" s="12">
        <v>35</v>
      </c>
      <c r="J18" s="12" t="s">
        <v>385</v>
      </c>
      <c r="K18" s="18">
        <v>0.114</v>
      </c>
      <c r="L18" s="12" t="s">
        <v>430</v>
      </c>
      <c r="M18" s="12"/>
      <c r="N18" s="19" t="s">
        <v>483</v>
      </c>
      <c r="O18" s="19"/>
      <c r="P18" s="12" t="s">
        <v>533</v>
      </c>
      <c r="Q18" s="18">
        <v>0.68300000000000005</v>
      </c>
      <c r="R18" s="12" t="s">
        <v>569</v>
      </c>
      <c r="S18" s="18">
        <v>0.71499999999999997</v>
      </c>
      <c r="T18" s="21">
        <f>(2.74/2.89)/(2.77/2.89)</f>
        <v>0.98916967509025278</v>
      </c>
      <c r="U18" s="21">
        <f>(2.05/2.43)/(2.4/2.89)</f>
        <v>1.0158607681755829</v>
      </c>
      <c r="V18" s="6"/>
      <c r="W18" s="6"/>
    </row>
    <row r="19" spans="2:23" x14ac:dyDescent="0.35">
      <c r="B19" s="17" t="s">
        <v>21</v>
      </c>
      <c r="C19" s="12">
        <v>33</v>
      </c>
      <c r="D19" s="12" t="s">
        <v>281</v>
      </c>
      <c r="E19" s="16"/>
      <c r="F19" s="12">
        <v>33</v>
      </c>
      <c r="G19" s="12" t="s">
        <v>335</v>
      </c>
      <c r="H19" s="16"/>
      <c r="I19" s="12">
        <v>32</v>
      </c>
      <c r="J19" s="21" t="s">
        <v>383</v>
      </c>
      <c r="K19" s="16"/>
      <c r="L19" s="19" t="s">
        <v>431</v>
      </c>
      <c r="M19" s="19"/>
      <c r="N19" s="20" t="s">
        <v>484</v>
      </c>
      <c r="O19" s="20"/>
      <c r="P19" s="12"/>
      <c r="Q19" s="16"/>
      <c r="R19" s="12"/>
      <c r="S19" s="16"/>
      <c r="T19" s="12"/>
      <c r="U19" s="12"/>
      <c r="V19" s="6"/>
      <c r="W19" s="6"/>
    </row>
    <row r="20" spans="2:23" x14ac:dyDescent="0.35">
      <c r="B20" s="31" t="s">
        <v>22</v>
      </c>
      <c r="C20" s="12"/>
      <c r="D20" s="12"/>
      <c r="E20" s="16"/>
      <c r="F20" s="12"/>
      <c r="G20" s="12"/>
      <c r="H20" s="16"/>
      <c r="I20" s="12"/>
      <c r="J20" s="12"/>
      <c r="K20" s="16"/>
      <c r="L20" s="12"/>
      <c r="M20" s="12"/>
      <c r="N20" s="12"/>
      <c r="O20" s="12"/>
      <c r="P20" s="12"/>
      <c r="Q20" s="16"/>
      <c r="R20" s="12"/>
      <c r="S20" s="16"/>
      <c r="T20" s="12"/>
      <c r="U20" s="12"/>
      <c r="V20" s="6"/>
      <c r="W20" s="6"/>
    </row>
    <row r="21" spans="2:23" x14ac:dyDescent="0.35">
      <c r="B21" s="17" t="s">
        <v>4</v>
      </c>
      <c r="C21" s="12">
        <v>19</v>
      </c>
      <c r="D21" s="12" t="s">
        <v>284</v>
      </c>
      <c r="E21" s="18">
        <v>0.98</v>
      </c>
      <c r="F21" s="12">
        <v>18</v>
      </c>
      <c r="G21" s="12" t="s">
        <v>336</v>
      </c>
      <c r="H21" s="18">
        <v>0.79400000000000004</v>
      </c>
      <c r="I21" s="12">
        <v>19</v>
      </c>
      <c r="J21" s="12" t="s">
        <v>386</v>
      </c>
      <c r="K21" s="18">
        <v>0.94699999999999995</v>
      </c>
      <c r="L21" s="12" t="s">
        <v>430</v>
      </c>
      <c r="M21" s="12"/>
      <c r="N21" s="12" t="s">
        <v>485</v>
      </c>
      <c r="O21" s="12"/>
      <c r="P21" s="19" t="s">
        <v>534</v>
      </c>
      <c r="Q21" s="18">
        <v>0.86599999999999999</v>
      </c>
      <c r="R21" s="12" t="s">
        <v>570</v>
      </c>
      <c r="S21" s="18">
        <v>0.94799999999999995</v>
      </c>
      <c r="T21" s="21">
        <f>(2.07/2.06)/(2.12/2.06)</f>
        <v>0.9764150943396227</v>
      </c>
      <c r="U21" s="21">
        <f>(2.13/2.06)/(2.12/2.06)</f>
        <v>1.0047169811320755</v>
      </c>
      <c r="V21" s="6"/>
      <c r="W21" s="6"/>
    </row>
    <row r="22" spans="2:23" x14ac:dyDescent="0.35">
      <c r="B22" s="17" t="s">
        <v>21</v>
      </c>
      <c r="C22" s="12">
        <v>21</v>
      </c>
      <c r="D22" s="12" t="s">
        <v>285</v>
      </c>
      <c r="E22" s="16"/>
      <c r="F22" s="12">
        <v>21</v>
      </c>
      <c r="G22" s="12" t="s">
        <v>337</v>
      </c>
      <c r="H22" s="16"/>
      <c r="I22" s="12">
        <v>22</v>
      </c>
      <c r="J22" s="12" t="s">
        <v>337</v>
      </c>
      <c r="K22" s="16"/>
      <c r="L22" s="12" t="s">
        <v>433</v>
      </c>
      <c r="M22" s="12"/>
      <c r="N22" s="12" t="s">
        <v>486</v>
      </c>
      <c r="O22" s="12"/>
      <c r="P22" s="12"/>
      <c r="Q22" s="16"/>
      <c r="R22" s="12"/>
      <c r="S22" s="16"/>
      <c r="T22" s="12"/>
      <c r="U22" s="12"/>
      <c r="V22" s="6"/>
      <c r="W22" s="6"/>
    </row>
    <row r="23" spans="2:23" ht="18.5" x14ac:dyDescent="0.35">
      <c r="B23" s="13" t="s">
        <v>1342</v>
      </c>
      <c r="C23" s="12"/>
      <c r="D23" s="12"/>
      <c r="E23" s="16"/>
      <c r="F23" s="12"/>
      <c r="G23" s="12"/>
      <c r="H23" s="16"/>
      <c r="I23" s="12"/>
      <c r="J23" s="12"/>
      <c r="K23" s="16"/>
      <c r="L23" s="12"/>
      <c r="M23" s="12"/>
      <c r="N23" s="12"/>
      <c r="O23" s="12"/>
      <c r="P23" s="12"/>
      <c r="Q23" s="16"/>
      <c r="R23" s="12"/>
      <c r="S23" s="16"/>
      <c r="T23" s="12"/>
      <c r="U23" s="12"/>
      <c r="V23" s="6"/>
      <c r="W23" s="6"/>
    </row>
    <row r="24" spans="2:23" x14ac:dyDescent="0.35">
      <c r="B24" s="15" t="s">
        <v>20</v>
      </c>
      <c r="C24" s="12"/>
      <c r="D24" s="12"/>
      <c r="E24" s="16"/>
      <c r="F24" s="12"/>
      <c r="G24" s="12"/>
      <c r="H24" s="16"/>
      <c r="I24" s="12"/>
      <c r="J24" s="12"/>
      <c r="K24" s="16"/>
      <c r="L24" s="12"/>
      <c r="M24" s="12"/>
      <c r="N24" s="12"/>
      <c r="O24" s="12"/>
      <c r="P24" s="12"/>
      <c r="Q24" s="16"/>
      <c r="R24" s="12"/>
      <c r="S24" s="16"/>
      <c r="T24" s="12"/>
      <c r="U24" s="12"/>
      <c r="V24" s="6"/>
      <c r="W24" s="6"/>
    </row>
    <row r="25" spans="2:23" x14ac:dyDescent="0.35">
      <c r="B25" s="17" t="s">
        <v>5</v>
      </c>
      <c r="C25" s="12">
        <v>33</v>
      </c>
      <c r="D25" s="12" t="s">
        <v>286</v>
      </c>
      <c r="E25" s="18">
        <v>0.105</v>
      </c>
      <c r="F25" s="12">
        <v>33</v>
      </c>
      <c r="G25" s="21" t="s">
        <v>338</v>
      </c>
      <c r="H25" s="18">
        <v>5.1999999999999998E-2</v>
      </c>
      <c r="I25" s="12">
        <v>33</v>
      </c>
      <c r="J25" s="12" t="s">
        <v>387</v>
      </c>
      <c r="K25" s="18">
        <v>0.11600000000000001</v>
      </c>
      <c r="L25" s="19" t="s">
        <v>434</v>
      </c>
      <c r="M25" s="19"/>
      <c r="N25" s="20" t="s">
        <v>487</v>
      </c>
      <c r="O25" s="20"/>
      <c r="P25" s="19" t="s">
        <v>535</v>
      </c>
      <c r="Q25" s="18">
        <v>0.81799999999999995</v>
      </c>
      <c r="R25" s="12" t="s">
        <v>571</v>
      </c>
      <c r="S25" s="18">
        <v>0.98</v>
      </c>
      <c r="T25" s="21">
        <f>(3.37/3.53)/(3.78/3.87)</f>
        <v>0.97740455955753425</v>
      </c>
      <c r="U25" s="21">
        <f>(3.03/3.53)/(3.36/3.87)</f>
        <v>0.98864326183731277</v>
      </c>
      <c r="V25" s="6"/>
      <c r="W25" s="6"/>
    </row>
    <row r="26" spans="2:23" x14ac:dyDescent="0.35">
      <c r="B26" s="17" t="s">
        <v>4</v>
      </c>
      <c r="C26" s="12">
        <v>33</v>
      </c>
      <c r="D26" s="12" t="s">
        <v>287</v>
      </c>
      <c r="E26" s="18">
        <v>2.3E-2</v>
      </c>
      <c r="F26" s="12">
        <v>33</v>
      </c>
      <c r="G26" s="12" t="s">
        <v>339</v>
      </c>
      <c r="H26" s="18">
        <v>0.115</v>
      </c>
      <c r="I26" s="12">
        <v>31</v>
      </c>
      <c r="J26" s="12" t="s">
        <v>388</v>
      </c>
      <c r="K26" s="18">
        <v>7.1999999999999995E-2</v>
      </c>
      <c r="L26" s="12" t="s">
        <v>435</v>
      </c>
      <c r="M26" s="12"/>
      <c r="N26" s="19" t="s">
        <v>488</v>
      </c>
      <c r="O26" s="19"/>
      <c r="P26" s="12" t="s">
        <v>536</v>
      </c>
      <c r="Q26" s="18">
        <v>0.61599999999999999</v>
      </c>
      <c r="R26" s="12" t="s">
        <v>572</v>
      </c>
      <c r="S26" s="18">
        <v>0.755</v>
      </c>
      <c r="T26" s="21">
        <f>(3.45/3.39)/(3.78/3.87)</f>
        <v>1.0419300463548251</v>
      </c>
      <c r="U26" s="21">
        <f>(2.98/3.39)/(3.36/3.87)</f>
        <v>1.0124841972187104</v>
      </c>
      <c r="V26" s="6"/>
      <c r="W26" s="6"/>
    </row>
    <row r="27" spans="2:23" x14ac:dyDescent="0.35">
      <c r="B27" s="17" t="s">
        <v>883</v>
      </c>
      <c r="C27" s="12">
        <v>36</v>
      </c>
      <c r="D27" s="12" t="s">
        <v>288</v>
      </c>
      <c r="E27" s="18">
        <v>1.7999999999999999E-2</v>
      </c>
      <c r="F27" s="12">
        <v>36</v>
      </c>
      <c r="G27" s="12" t="s">
        <v>340</v>
      </c>
      <c r="H27" s="18">
        <v>0.04</v>
      </c>
      <c r="I27" s="12">
        <v>35</v>
      </c>
      <c r="J27" s="12" t="s">
        <v>389</v>
      </c>
      <c r="K27" s="18">
        <v>3.5999999999999997E-2</v>
      </c>
      <c r="L27" s="19" t="s">
        <v>436</v>
      </c>
      <c r="M27" s="19"/>
      <c r="N27" s="19" t="s">
        <v>489</v>
      </c>
      <c r="O27" s="19"/>
      <c r="P27" s="12" t="s">
        <v>537</v>
      </c>
      <c r="Q27" s="18">
        <v>0.82499999999999996</v>
      </c>
      <c r="R27" s="12" t="s">
        <v>573</v>
      </c>
      <c r="S27" s="18">
        <v>0.86399999999999999</v>
      </c>
      <c r="T27" s="21">
        <f>(3.36/3.38)/(3.78/3.87)</f>
        <v>1.0177514792899409</v>
      </c>
      <c r="U27" s="21">
        <f>(2.93/3.38)/(3.36/3.87)</f>
        <v>0.99844146238377018</v>
      </c>
      <c r="V27" s="6"/>
      <c r="W27" s="6"/>
    </row>
    <row r="28" spans="2:23" x14ac:dyDescent="0.35">
      <c r="B28" s="17" t="s">
        <v>21</v>
      </c>
      <c r="C28" s="12">
        <v>33</v>
      </c>
      <c r="D28" s="12" t="s">
        <v>289</v>
      </c>
      <c r="E28" s="16"/>
      <c r="F28" s="12">
        <v>33</v>
      </c>
      <c r="G28" s="12" t="s">
        <v>341</v>
      </c>
      <c r="H28" s="16"/>
      <c r="I28" s="12">
        <v>32</v>
      </c>
      <c r="J28" s="12" t="s">
        <v>390</v>
      </c>
      <c r="K28" s="16"/>
      <c r="L28" s="19" t="s">
        <v>437</v>
      </c>
      <c r="M28" s="19"/>
      <c r="N28" s="20" t="s">
        <v>487</v>
      </c>
      <c r="O28" s="20"/>
      <c r="P28" s="12"/>
      <c r="Q28" s="16"/>
      <c r="R28" s="12"/>
      <c r="S28" s="16"/>
      <c r="T28" s="12"/>
      <c r="U28" s="12"/>
      <c r="V28" s="6"/>
      <c r="W28" s="6"/>
    </row>
    <row r="29" spans="2:23" x14ac:dyDescent="0.35">
      <c r="B29" s="15" t="s">
        <v>22</v>
      </c>
      <c r="C29" s="12"/>
      <c r="D29" s="12"/>
      <c r="E29" s="16"/>
      <c r="F29" s="12"/>
      <c r="G29" s="12"/>
      <c r="H29" s="16"/>
      <c r="I29" s="12"/>
      <c r="J29" s="12"/>
      <c r="K29" s="16"/>
      <c r="L29" s="12"/>
      <c r="M29" s="12"/>
      <c r="N29" s="12"/>
      <c r="O29" s="12"/>
      <c r="P29" s="12"/>
      <c r="Q29" s="16"/>
      <c r="R29" s="12"/>
      <c r="S29" s="16"/>
      <c r="T29" s="12"/>
      <c r="U29" s="12"/>
      <c r="V29" s="6"/>
      <c r="W29" s="6"/>
    </row>
    <row r="30" spans="2:23" x14ac:dyDescent="0.35">
      <c r="B30" s="17" t="s">
        <v>4</v>
      </c>
      <c r="C30" s="12">
        <v>19</v>
      </c>
      <c r="D30" s="12" t="s">
        <v>290</v>
      </c>
      <c r="E30" s="18">
        <v>0.20399999999999999</v>
      </c>
      <c r="F30" s="12">
        <v>18</v>
      </c>
      <c r="G30" s="12" t="s">
        <v>342</v>
      </c>
      <c r="H30" s="18">
        <v>0.35699999999999998</v>
      </c>
      <c r="I30" s="12">
        <v>19</v>
      </c>
      <c r="J30" s="12" t="s">
        <v>391</v>
      </c>
      <c r="K30" s="18">
        <v>0.27500000000000002</v>
      </c>
      <c r="L30" s="12" t="s">
        <v>438</v>
      </c>
      <c r="M30" s="12"/>
      <c r="N30" s="19" t="s">
        <v>490</v>
      </c>
      <c r="O30" s="19"/>
      <c r="P30" s="19" t="s">
        <v>538</v>
      </c>
      <c r="Q30" s="18">
        <v>0.81200000000000006</v>
      </c>
      <c r="R30" s="19" t="s">
        <v>574</v>
      </c>
      <c r="S30" s="18">
        <v>0.89</v>
      </c>
      <c r="T30" s="21">
        <f>(2.92/2.92)/(2.69/2.61)</f>
        <v>0.97026022304832715</v>
      </c>
      <c r="U30" s="21">
        <f>(2.87/2.92)/(2.61/2.61)</f>
        <v>0.98287671232876717</v>
      </c>
      <c r="V30" s="6"/>
      <c r="W30" s="6"/>
    </row>
    <row r="31" spans="2:23" x14ac:dyDescent="0.35">
      <c r="B31" s="17" t="s">
        <v>21</v>
      </c>
      <c r="C31" s="12">
        <v>21</v>
      </c>
      <c r="D31" s="12" t="s">
        <v>291</v>
      </c>
      <c r="E31" s="16"/>
      <c r="F31" s="12">
        <v>21</v>
      </c>
      <c r="G31" s="12" t="s">
        <v>343</v>
      </c>
      <c r="H31" s="16"/>
      <c r="I31" s="12">
        <v>22</v>
      </c>
      <c r="J31" s="12" t="s">
        <v>392</v>
      </c>
      <c r="K31" s="16"/>
      <c r="L31" s="12" t="s">
        <v>439</v>
      </c>
      <c r="M31" s="12"/>
      <c r="N31" s="19" t="s">
        <v>491</v>
      </c>
      <c r="O31" s="19"/>
      <c r="P31" s="12"/>
      <c r="Q31" s="16"/>
      <c r="R31" s="12"/>
      <c r="S31" s="16"/>
      <c r="T31" s="12"/>
      <c r="U31" s="12"/>
      <c r="V31" s="6"/>
      <c r="W31" s="6"/>
    </row>
    <row r="32" spans="2:23" ht="18.5" x14ac:dyDescent="0.35">
      <c r="B32" s="13" t="s">
        <v>1523</v>
      </c>
      <c r="C32" s="12"/>
      <c r="D32" s="12"/>
      <c r="E32" s="16"/>
      <c r="F32" s="12"/>
      <c r="G32" s="12"/>
      <c r="H32" s="16"/>
      <c r="I32" s="12"/>
      <c r="J32" s="12"/>
      <c r="K32" s="16"/>
      <c r="L32" s="12"/>
      <c r="M32" s="12"/>
      <c r="N32" s="12"/>
      <c r="O32" s="12"/>
      <c r="P32" s="6"/>
      <c r="Q32" s="23"/>
      <c r="R32" s="6"/>
      <c r="S32" s="23"/>
      <c r="T32" s="6"/>
      <c r="U32" s="6"/>
      <c r="V32" s="6"/>
      <c r="W32" s="6"/>
    </row>
    <row r="33" spans="2:23" x14ac:dyDescent="0.35">
      <c r="B33" s="15" t="s">
        <v>20</v>
      </c>
      <c r="C33" s="12"/>
      <c r="D33" s="12"/>
      <c r="E33" s="16"/>
      <c r="F33" s="12"/>
      <c r="G33" s="12"/>
      <c r="H33" s="16"/>
      <c r="I33" s="12"/>
      <c r="J33" s="12"/>
      <c r="K33" s="16"/>
      <c r="L33" s="12"/>
      <c r="M33" s="12"/>
      <c r="N33" s="12"/>
      <c r="O33" s="12"/>
      <c r="P33" s="6"/>
      <c r="Q33" s="23"/>
      <c r="R33" s="6"/>
      <c r="S33" s="23"/>
      <c r="T33" s="6"/>
      <c r="U33" s="6"/>
      <c r="V33" s="6"/>
      <c r="W33" s="6"/>
    </row>
    <row r="34" spans="2:23" x14ac:dyDescent="0.35">
      <c r="B34" s="17" t="s">
        <v>5</v>
      </c>
      <c r="C34" s="12">
        <v>33</v>
      </c>
      <c r="D34" s="12" t="s">
        <v>327</v>
      </c>
      <c r="E34" s="18">
        <v>0.44</v>
      </c>
      <c r="F34" s="12">
        <v>33</v>
      </c>
      <c r="G34" s="12" t="s">
        <v>372</v>
      </c>
      <c r="H34" s="18">
        <v>0.14499999999999999</v>
      </c>
      <c r="I34" s="12">
        <v>33</v>
      </c>
      <c r="J34" s="12" t="s">
        <v>423</v>
      </c>
      <c r="K34" s="18">
        <v>0.10199999999999999</v>
      </c>
      <c r="L34" s="19" t="s">
        <v>471</v>
      </c>
      <c r="M34" s="19"/>
      <c r="N34" s="19" t="s">
        <v>507</v>
      </c>
      <c r="O34" s="19"/>
      <c r="P34" s="19" t="s">
        <v>553</v>
      </c>
      <c r="Q34" s="18">
        <v>0.627</v>
      </c>
      <c r="R34" s="19" t="s">
        <v>591</v>
      </c>
      <c r="S34" s="18">
        <v>0.53600000000000003</v>
      </c>
      <c r="T34" s="21">
        <f>(2.82/2.97)/(3.08/3.11)</f>
        <v>0.95874327692509487</v>
      </c>
      <c r="U34" s="21">
        <f>(2.45/2.97)/(2.75/3.11)</f>
        <v>0.93290480563207834</v>
      </c>
      <c r="V34" s="6"/>
      <c r="W34" s="6"/>
    </row>
    <row r="35" spans="2:23" x14ac:dyDescent="0.35">
      <c r="B35" s="17" t="s">
        <v>4</v>
      </c>
      <c r="C35" s="12">
        <v>33</v>
      </c>
      <c r="D35" s="12" t="s">
        <v>328</v>
      </c>
      <c r="E35" s="18">
        <v>0.219</v>
      </c>
      <c r="F35" s="12">
        <v>33</v>
      </c>
      <c r="G35" s="12" t="s">
        <v>373</v>
      </c>
      <c r="H35" s="18">
        <v>0.40400000000000003</v>
      </c>
      <c r="I35" s="12">
        <v>31</v>
      </c>
      <c r="J35" s="12" t="s">
        <v>424</v>
      </c>
      <c r="K35" s="18">
        <v>0.28999999999999998</v>
      </c>
      <c r="L35" s="12" t="s">
        <v>468</v>
      </c>
      <c r="M35" s="12"/>
      <c r="N35" s="19" t="s">
        <v>508</v>
      </c>
      <c r="O35" s="19"/>
      <c r="P35" s="12" t="s">
        <v>552</v>
      </c>
      <c r="Q35" s="18">
        <v>0.78</v>
      </c>
      <c r="R35" s="12" t="s">
        <v>584</v>
      </c>
      <c r="S35" s="18">
        <v>0.91900000000000004</v>
      </c>
      <c r="T35" s="21">
        <f>(2.93/2.89)/(3.08/3.11)</f>
        <v>1.0237159034736889</v>
      </c>
      <c r="U35" s="21">
        <f>(2.55/2.89)/(2.75/3.11)</f>
        <v>0.99786096256684476</v>
      </c>
      <c r="V35" s="6"/>
      <c r="W35" s="6"/>
    </row>
    <row r="36" spans="2:23" x14ac:dyDescent="0.35">
      <c r="B36" s="17" t="s">
        <v>883</v>
      </c>
      <c r="C36" s="12">
        <v>36</v>
      </c>
      <c r="D36" s="12" t="s">
        <v>329</v>
      </c>
      <c r="E36" s="18">
        <v>4.9000000000000002E-2</v>
      </c>
      <c r="F36" s="12">
        <v>36</v>
      </c>
      <c r="G36" s="12" t="s">
        <v>374</v>
      </c>
      <c r="H36" s="18">
        <v>5.6000000000000001E-2</v>
      </c>
      <c r="I36" s="12">
        <v>35</v>
      </c>
      <c r="J36" s="12" t="s">
        <v>425</v>
      </c>
      <c r="K36" s="18">
        <v>3.7999999999999999E-2</v>
      </c>
      <c r="L36" s="19" t="s">
        <v>467</v>
      </c>
      <c r="M36" s="19"/>
      <c r="N36" s="19" t="s">
        <v>517</v>
      </c>
      <c r="O36" s="19"/>
      <c r="P36" s="12" t="s">
        <v>551</v>
      </c>
      <c r="Q36" s="18">
        <v>0.97199999999999998</v>
      </c>
      <c r="R36" s="19" t="s">
        <v>592</v>
      </c>
      <c r="S36" s="18">
        <v>0.91800000000000004</v>
      </c>
      <c r="T36" s="21">
        <f>(2.74/2.77)/(3.08/3.11)</f>
        <v>0.99880444465282003</v>
      </c>
      <c r="U36" s="21">
        <f>(2.38/2.77)/(2.75/3.11)</f>
        <v>0.9716836232359698</v>
      </c>
      <c r="V36" s="6"/>
      <c r="W36" s="6"/>
    </row>
    <row r="37" spans="2:23" x14ac:dyDescent="0.35">
      <c r="B37" s="17" t="s">
        <v>21</v>
      </c>
      <c r="C37" s="12">
        <v>33</v>
      </c>
      <c r="D37" s="12" t="s">
        <v>330</v>
      </c>
      <c r="E37" s="16"/>
      <c r="F37" s="12">
        <v>33</v>
      </c>
      <c r="G37" s="12" t="s">
        <v>375</v>
      </c>
      <c r="H37" s="16"/>
      <c r="I37" s="12">
        <v>32</v>
      </c>
      <c r="J37" s="12" t="s">
        <v>426</v>
      </c>
      <c r="K37" s="16"/>
      <c r="L37" s="19" t="s">
        <v>466</v>
      </c>
      <c r="M37" s="19"/>
      <c r="N37" s="19" t="s">
        <v>518</v>
      </c>
      <c r="O37" s="19"/>
      <c r="P37" s="6"/>
      <c r="Q37" s="23"/>
      <c r="R37" s="6"/>
      <c r="S37" s="23"/>
      <c r="T37" s="6"/>
      <c r="U37" s="6"/>
      <c r="V37" s="6"/>
      <c r="W37" s="6"/>
    </row>
    <row r="38" spans="2:23" x14ac:dyDescent="0.35">
      <c r="B38" s="15" t="s">
        <v>22</v>
      </c>
      <c r="C38" s="12"/>
      <c r="D38" s="12"/>
      <c r="E38" s="16"/>
      <c r="F38" s="12"/>
      <c r="G38" s="12"/>
      <c r="H38" s="16"/>
      <c r="I38" s="12"/>
      <c r="J38" s="12"/>
      <c r="K38" s="16"/>
      <c r="L38" s="12"/>
      <c r="M38" s="12"/>
      <c r="N38" s="12"/>
      <c r="O38" s="12"/>
      <c r="P38" s="6"/>
      <c r="Q38" s="23"/>
      <c r="R38" s="6"/>
      <c r="S38" s="23"/>
      <c r="T38" s="6"/>
      <c r="U38" s="6"/>
      <c r="V38" s="6"/>
      <c r="W38" s="6"/>
    </row>
    <row r="39" spans="2:23" x14ac:dyDescent="0.35">
      <c r="B39" s="17" t="s">
        <v>4</v>
      </c>
      <c r="C39" s="12">
        <v>19</v>
      </c>
      <c r="D39" s="12" t="s">
        <v>331</v>
      </c>
      <c r="E39" s="18">
        <v>0.83699999999999997</v>
      </c>
      <c r="F39" s="12">
        <v>18</v>
      </c>
      <c r="G39" s="12" t="s">
        <v>376</v>
      </c>
      <c r="H39" s="18">
        <v>0.61899999999999999</v>
      </c>
      <c r="I39" s="12">
        <v>19</v>
      </c>
      <c r="J39" s="12" t="s">
        <v>427</v>
      </c>
      <c r="K39" s="18">
        <v>0.72899999999999998</v>
      </c>
      <c r="L39" s="12" t="s">
        <v>465</v>
      </c>
      <c r="M39" s="12"/>
      <c r="N39" s="12" t="s">
        <v>506</v>
      </c>
      <c r="O39" s="12"/>
      <c r="P39" s="19" t="s">
        <v>550</v>
      </c>
      <c r="Q39" s="18">
        <v>0.83399999999999996</v>
      </c>
      <c r="R39" s="19" t="s">
        <v>589</v>
      </c>
      <c r="S39" s="18">
        <v>0.92300000000000004</v>
      </c>
      <c r="T39" s="21">
        <f>(2.28/2.26)/(2.36/2.29)</f>
        <v>0.97892605369731522</v>
      </c>
      <c r="U39" s="21">
        <f>(2.32/2.2)/(2.38/2.29)</f>
        <v>1.0146676852559204</v>
      </c>
      <c r="V39" s="6"/>
      <c r="W39" s="6"/>
    </row>
    <row r="40" spans="2:23" x14ac:dyDescent="0.35">
      <c r="B40" s="17" t="s">
        <v>21</v>
      </c>
      <c r="C40" s="12">
        <v>21</v>
      </c>
      <c r="D40" s="12" t="s">
        <v>332</v>
      </c>
      <c r="E40" s="12"/>
      <c r="F40" s="12">
        <v>21</v>
      </c>
      <c r="G40" s="12" t="s">
        <v>377</v>
      </c>
      <c r="H40" s="16"/>
      <c r="I40" s="12">
        <v>22</v>
      </c>
      <c r="J40" s="12" t="s">
        <v>428</v>
      </c>
      <c r="K40" s="16"/>
      <c r="L40" s="12" t="s">
        <v>464</v>
      </c>
      <c r="M40" s="12"/>
      <c r="N40" s="12" t="s">
        <v>473</v>
      </c>
      <c r="O40" s="12"/>
      <c r="P40" s="6"/>
      <c r="Q40" s="23"/>
      <c r="R40" s="6"/>
      <c r="S40" s="23"/>
      <c r="T40" s="6"/>
      <c r="U40" s="6"/>
      <c r="V40" s="6"/>
      <c r="W40" s="6"/>
    </row>
    <row r="41" spans="2:23" ht="18.5" x14ac:dyDescent="0.35">
      <c r="B41" s="13" t="s">
        <v>1524</v>
      </c>
      <c r="C41" s="12"/>
      <c r="D41" s="12"/>
      <c r="E41" s="12"/>
      <c r="F41" s="12"/>
      <c r="G41" s="12"/>
      <c r="H41" s="16"/>
      <c r="I41" s="12"/>
      <c r="J41" s="12"/>
      <c r="K41" s="16"/>
      <c r="L41" s="12"/>
      <c r="M41" s="12"/>
      <c r="N41" s="12"/>
      <c r="O41" s="12"/>
      <c r="P41" s="6"/>
      <c r="Q41" s="23"/>
      <c r="R41" s="6"/>
      <c r="S41" s="23"/>
      <c r="T41" s="6"/>
      <c r="U41" s="6"/>
      <c r="V41" s="6"/>
      <c r="W41" s="6"/>
    </row>
    <row r="42" spans="2:23" x14ac:dyDescent="0.35">
      <c r="B42" s="15" t="s">
        <v>20</v>
      </c>
      <c r="C42" s="12"/>
      <c r="D42" s="12"/>
      <c r="E42" s="12"/>
      <c r="F42" s="12"/>
      <c r="G42" s="12"/>
      <c r="H42" s="16"/>
      <c r="I42" s="12"/>
      <c r="J42" s="12"/>
      <c r="K42" s="16"/>
      <c r="L42" s="12"/>
      <c r="M42" s="12"/>
      <c r="N42" s="12"/>
      <c r="O42" s="12"/>
      <c r="P42" s="6"/>
      <c r="Q42" s="23"/>
      <c r="R42" s="6"/>
      <c r="S42" s="23"/>
      <c r="T42" s="6"/>
      <c r="U42" s="6"/>
      <c r="V42" s="6"/>
      <c r="W42" s="6"/>
    </row>
    <row r="43" spans="2:23" x14ac:dyDescent="0.35">
      <c r="B43" s="17" t="s">
        <v>5</v>
      </c>
      <c r="C43" s="12">
        <v>33</v>
      </c>
      <c r="D43" s="12" t="s">
        <v>317</v>
      </c>
      <c r="E43" s="18">
        <v>0.48599999999999999</v>
      </c>
      <c r="F43" s="12">
        <v>33</v>
      </c>
      <c r="G43" s="12" t="s">
        <v>378</v>
      </c>
      <c r="H43" s="18">
        <v>0.52800000000000002</v>
      </c>
      <c r="I43" s="12">
        <v>33</v>
      </c>
      <c r="J43" s="12" t="s">
        <v>402</v>
      </c>
      <c r="K43" s="18">
        <v>0.88200000000000001</v>
      </c>
      <c r="L43" s="19" t="s">
        <v>460</v>
      </c>
      <c r="M43" s="19"/>
      <c r="N43" s="19" t="s">
        <v>502</v>
      </c>
      <c r="O43" s="19"/>
      <c r="P43" s="12" t="s">
        <v>546</v>
      </c>
      <c r="Q43" s="18">
        <v>0.96299999999999997</v>
      </c>
      <c r="R43" s="12" t="s">
        <v>588</v>
      </c>
      <c r="S43" s="18">
        <v>0.7</v>
      </c>
      <c r="T43" s="21">
        <f>(3.29/3.45)/(3.48/3.66)</f>
        <v>1.0029485257371316</v>
      </c>
      <c r="U43" s="21">
        <f>(2.97/3.45)/(3.02/3.66)</f>
        <v>1.0433054995680968</v>
      </c>
      <c r="V43" s="6"/>
      <c r="W43" s="6"/>
    </row>
    <row r="44" spans="2:23" x14ac:dyDescent="0.35">
      <c r="B44" s="17" t="s">
        <v>4</v>
      </c>
      <c r="C44" s="12">
        <v>33</v>
      </c>
      <c r="D44" s="21" t="s">
        <v>318</v>
      </c>
      <c r="E44" s="18">
        <v>0.127</v>
      </c>
      <c r="F44" s="12">
        <v>33</v>
      </c>
      <c r="G44" s="21" t="s">
        <v>379</v>
      </c>
      <c r="H44" s="18">
        <v>0.64300000000000002</v>
      </c>
      <c r="I44" s="12">
        <v>31</v>
      </c>
      <c r="J44" s="12" t="s">
        <v>401</v>
      </c>
      <c r="K44" s="18">
        <v>0.56000000000000005</v>
      </c>
      <c r="L44" s="21" t="s">
        <v>461</v>
      </c>
      <c r="M44" s="21"/>
      <c r="N44" s="19" t="s">
        <v>503</v>
      </c>
      <c r="O44" s="19"/>
      <c r="P44" s="12" t="s">
        <v>547</v>
      </c>
      <c r="Q44" s="18">
        <v>0.45300000000000001</v>
      </c>
      <c r="R44" s="12" t="s">
        <v>587</v>
      </c>
      <c r="S44" s="18">
        <v>0.51600000000000001</v>
      </c>
      <c r="T44" s="21">
        <f>(3.34/3.2)/(3.48/3.66)</f>
        <v>1.0977370689655173</v>
      </c>
      <c r="U44" s="21">
        <f>(2.84/3.2)/(3.02/3.66)</f>
        <v>1.0755794701986754</v>
      </c>
      <c r="V44" s="6"/>
      <c r="W44" s="6"/>
    </row>
    <row r="45" spans="2:23" x14ac:dyDescent="0.35">
      <c r="B45" s="17" t="s">
        <v>883</v>
      </c>
      <c r="C45" s="12">
        <v>36</v>
      </c>
      <c r="D45" s="12" t="s">
        <v>319</v>
      </c>
      <c r="E45" s="18">
        <v>3.6999999999999998E-2</v>
      </c>
      <c r="F45" s="12">
        <v>36</v>
      </c>
      <c r="G45" s="12" t="s">
        <v>380</v>
      </c>
      <c r="H45" s="18">
        <v>0.14099999999999999</v>
      </c>
      <c r="I45" s="12">
        <v>35</v>
      </c>
      <c r="J45" s="12" t="s">
        <v>400</v>
      </c>
      <c r="K45" s="18">
        <v>0.154</v>
      </c>
      <c r="L45" s="12" t="s">
        <v>462</v>
      </c>
      <c r="M45" s="12"/>
      <c r="N45" s="19" t="s">
        <v>504</v>
      </c>
      <c r="O45" s="19"/>
      <c r="P45" s="12" t="s">
        <v>548</v>
      </c>
      <c r="Q45" s="18">
        <v>0.66100000000000003</v>
      </c>
      <c r="R45" s="12" t="s">
        <v>586</v>
      </c>
      <c r="S45" s="18">
        <v>0.65</v>
      </c>
      <c r="T45" s="21">
        <f>(3.05/3.04)/(3.48/3.66)</f>
        <v>1.0551837568058076</v>
      </c>
      <c r="U45" s="21">
        <f>(2.59/3.04)/(3.02/3.66)</f>
        <v>1.0325243987452073</v>
      </c>
      <c r="V45" s="6"/>
      <c r="W45" s="6"/>
    </row>
    <row r="46" spans="2:23" x14ac:dyDescent="0.35">
      <c r="B46" s="17" t="s">
        <v>21</v>
      </c>
      <c r="C46" s="12">
        <v>33</v>
      </c>
      <c r="D46" s="12" t="s">
        <v>320</v>
      </c>
      <c r="E46" s="18"/>
      <c r="F46" s="12">
        <v>33</v>
      </c>
      <c r="G46" s="12" t="s">
        <v>381</v>
      </c>
      <c r="H46" s="16"/>
      <c r="I46" s="12">
        <v>32</v>
      </c>
      <c r="J46" s="12" t="s">
        <v>399</v>
      </c>
      <c r="K46" s="16"/>
      <c r="L46" s="19" t="s">
        <v>463</v>
      </c>
      <c r="M46" s="19"/>
      <c r="N46" s="19" t="s">
        <v>505</v>
      </c>
      <c r="O46" s="19"/>
      <c r="P46" s="6"/>
      <c r="Q46" s="23"/>
      <c r="R46" s="6"/>
      <c r="S46" s="23"/>
      <c r="T46" s="6"/>
      <c r="U46" s="6"/>
      <c r="V46" s="6"/>
      <c r="W46" s="6"/>
    </row>
    <row r="47" spans="2:23" x14ac:dyDescent="0.35">
      <c r="B47" s="15" t="s">
        <v>22</v>
      </c>
      <c r="C47" s="12"/>
      <c r="D47" s="12"/>
      <c r="E47" s="18"/>
      <c r="F47" s="12"/>
      <c r="G47" s="12"/>
      <c r="H47" s="16"/>
      <c r="I47" s="12"/>
      <c r="J47" s="12"/>
      <c r="K47" s="16"/>
      <c r="L47" s="12"/>
      <c r="M47" s="12"/>
      <c r="N47" s="12"/>
      <c r="O47" s="12"/>
      <c r="P47" s="6"/>
      <c r="Q47" s="23"/>
      <c r="R47" s="6"/>
      <c r="S47" s="23"/>
      <c r="T47" s="6"/>
      <c r="U47" s="6"/>
      <c r="V47" s="6"/>
      <c r="W47" s="6"/>
    </row>
    <row r="48" spans="2:23" x14ac:dyDescent="0.35">
      <c r="B48" s="17" t="s">
        <v>4</v>
      </c>
      <c r="C48" s="12">
        <v>19</v>
      </c>
      <c r="D48" s="12" t="s">
        <v>315</v>
      </c>
      <c r="E48" s="18">
        <v>0.26100000000000001</v>
      </c>
      <c r="F48" s="12">
        <v>18</v>
      </c>
      <c r="G48" s="12" t="s">
        <v>315</v>
      </c>
      <c r="H48" s="18">
        <v>0.39800000000000002</v>
      </c>
      <c r="I48" s="12">
        <v>19</v>
      </c>
      <c r="J48" s="12" t="s">
        <v>398</v>
      </c>
      <c r="K48" s="18">
        <v>0.26300000000000001</v>
      </c>
      <c r="L48" s="19" t="s">
        <v>446</v>
      </c>
      <c r="M48" s="19"/>
      <c r="N48" s="19" t="s">
        <v>500</v>
      </c>
      <c r="O48" s="19"/>
      <c r="P48" s="19" t="s">
        <v>549</v>
      </c>
      <c r="Q48" s="18">
        <v>0.85099999999999998</v>
      </c>
      <c r="R48" s="19" t="s">
        <v>585</v>
      </c>
      <c r="S48" s="18">
        <v>0.99</v>
      </c>
      <c r="T48" s="21">
        <f>(2.71/2.71)/(2.45/2.38)</f>
        <v>0.97142857142857131</v>
      </c>
      <c r="U48" s="21">
        <f>(2.68/2.71)/(2.35/2.38)</f>
        <v>1.0015545261835597</v>
      </c>
      <c r="V48" s="6"/>
      <c r="W48" s="6"/>
    </row>
    <row r="49" spans="2:23" x14ac:dyDescent="0.35">
      <c r="B49" s="33" t="s">
        <v>21</v>
      </c>
      <c r="C49" s="34">
        <v>21</v>
      </c>
      <c r="D49" s="34" t="s">
        <v>316</v>
      </c>
      <c r="E49" s="34"/>
      <c r="F49" s="34">
        <v>21</v>
      </c>
      <c r="G49" s="34" t="s">
        <v>382</v>
      </c>
      <c r="H49" s="34"/>
      <c r="I49" s="34">
        <v>22</v>
      </c>
      <c r="J49" s="34" t="s">
        <v>397</v>
      </c>
      <c r="K49" s="34"/>
      <c r="L49" s="34" t="s">
        <v>447</v>
      </c>
      <c r="M49" s="34"/>
      <c r="N49" s="35" t="s">
        <v>501</v>
      </c>
      <c r="O49" s="35"/>
      <c r="P49" s="2"/>
      <c r="Q49" s="2"/>
      <c r="R49" s="2"/>
      <c r="S49" s="2"/>
      <c r="T49" s="2"/>
      <c r="U49" s="2"/>
      <c r="V49" s="6"/>
      <c r="W49" s="6"/>
    </row>
    <row r="50" spans="2:23" ht="4" customHeight="1" x14ac:dyDescent="0.35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8"/>
      <c r="O50" s="28"/>
      <c r="P50" s="5"/>
      <c r="Q50" s="5"/>
      <c r="R50" s="5"/>
      <c r="S50" s="5"/>
      <c r="T50" s="5"/>
      <c r="U50" s="5"/>
      <c r="V50" s="131"/>
      <c r="W50" s="131"/>
    </row>
    <row r="51" spans="2:23" x14ac:dyDescent="0.35">
      <c r="B51" s="13" t="s">
        <v>33</v>
      </c>
      <c r="C51" s="12"/>
      <c r="D51" s="12"/>
      <c r="E51" s="16"/>
      <c r="F51" s="12"/>
      <c r="G51" s="12"/>
      <c r="H51" s="16"/>
      <c r="I51" s="12"/>
      <c r="J51" s="12"/>
      <c r="K51" s="16"/>
      <c r="L51" s="12"/>
      <c r="M51" s="12"/>
      <c r="N51" s="12"/>
      <c r="O51" s="12"/>
      <c r="P51" s="6"/>
      <c r="Q51" s="23"/>
      <c r="R51" s="6"/>
      <c r="S51" s="23"/>
      <c r="T51" s="6"/>
      <c r="U51" s="6"/>
      <c r="V51" s="6"/>
    </row>
    <row r="52" spans="2:23" x14ac:dyDescent="0.35">
      <c r="B52" s="15" t="s">
        <v>20</v>
      </c>
      <c r="C52" s="12"/>
      <c r="D52" s="12"/>
      <c r="E52" s="16"/>
      <c r="F52" s="12"/>
      <c r="G52" s="12"/>
      <c r="H52" s="16"/>
      <c r="I52" s="12"/>
      <c r="J52" s="12"/>
      <c r="K52" s="16"/>
      <c r="L52" s="12"/>
      <c r="M52" s="12"/>
      <c r="N52" s="12"/>
      <c r="O52" s="12"/>
      <c r="P52" s="6"/>
      <c r="Q52" s="23"/>
      <c r="R52" s="6"/>
      <c r="S52" s="23"/>
      <c r="T52" s="6"/>
      <c r="U52" s="6"/>
      <c r="V52" s="6"/>
    </row>
    <row r="53" spans="2:23" x14ac:dyDescent="0.35">
      <c r="B53" s="17" t="s">
        <v>5</v>
      </c>
      <c r="C53" s="12">
        <v>33</v>
      </c>
      <c r="D53" s="12" t="s">
        <v>321</v>
      </c>
      <c r="E53" s="18">
        <v>0.58899999999999997</v>
      </c>
      <c r="F53" s="12">
        <v>33</v>
      </c>
      <c r="G53" s="12" t="s">
        <v>366</v>
      </c>
      <c r="H53" s="18">
        <v>0.92300000000000004</v>
      </c>
      <c r="I53" s="12">
        <v>33</v>
      </c>
      <c r="J53" s="21" t="s">
        <v>418</v>
      </c>
      <c r="K53" s="18">
        <v>0.70499999999999996</v>
      </c>
      <c r="L53" s="19" t="s">
        <v>478</v>
      </c>
      <c r="M53" s="19"/>
      <c r="N53" s="19" t="s">
        <v>527</v>
      </c>
      <c r="O53" s="19"/>
      <c r="P53" s="19" t="s">
        <v>564</v>
      </c>
      <c r="Q53" s="18">
        <v>0.65200000000000002</v>
      </c>
      <c r="R53" s="20" t="s">
        <v>598</v>
      </c>
      <c r="S53" s="18">
        <v>0.51700000000000002</v>
      </c>
      <c r="T53" s="21">
        <f>(1.16/1.24)/(1.17/1.18)</f>
        <v>0.94347945960849178</v>
      </c>
      <c r="U53" s="21">
        <f>(1/1.24)/(1.04/1.18)</f>
        <v>0.91501240694789077</v>
      </c>
      <c r="V53" s="6"/>
    </row>
    <row r="54" spans="2:23" x14ac:dyDescent="0.35">
      <c r="B54" s="17" t="s">
        <v>4</v>
      </c>
      <c r="C54" s="12">
        <v>33</v>
      </c>
      <c r="D54" s="21" t="s">
        <v>322</v>
      </c>
      <c r="E54" s="18">
        <v>0.85699999999999998</v>
      </c>
      <c r="F54" s="12">
        <v>33</v>
      </c>
      <c r="G54" s="12" t="s">
        <v>367</v>
      </c>
      <c r="H54" s="18">
        <v>0.63400000000000001</v>
      </c>
      <c r="I54" s="12">
        <v>31</v>
      </c>
      <c r="J54" s="12" t="s">
        <v>419</v>
      </c>
      <c r="K54" s="18">
        <v>0.82</v>
      </c>
      <c r="L54" s="12" t="s">
        <v>479</v>
      </c>
      <c r="M54" s="12"/>
      <c r="N54" s="19" t="s">
        <v>528</v>
      </c>
      <c r="O54" s="19"/>
      <c r="P54" s="12" t="s">
        <v>565</v>
      </c>
      <c r="Q54" s="18">
        <v>0.83399999999999996</v>
      </c>
      <c r="R54" s="12" t="s">
        <v>590</v>
      </c>
      <c r="S54" s="18">
        <v>0.97099999999999997</v>
      </c>
      <c r="T54" s="21">
        <f>(1.23/1.2)/(1.17/1.18)</f>
        <v>1.0337606837606839</v>
      </c>
      <c r="U54" s="21">
        <f>(1.06/1.2)/(1.04/1.18)</f>
        <v>1.0022435897435897</v>
      </c>
      <c r="V54" s="6"/>
    </row>
    <row r="55" spans="2:23" x14ac:dyDescent="0.35">
      <c r="B55" s="22" t="s">
        <v>883</v>
      </c>
      <c r="C55" s="12">
        <v>36</v>
      </c>
      <c r="D55" s="12" t="s">
        <v>323</v>
      </c>
      <c r="E55" s="18">
        <v>0.21099999999999999</v>
      </c>
      <c r="F55" s="12">
        <v>36</v>
      </c>
      <c r="G55" s="12" t="s">
        <v>368</v>
      </c>
      <c r="H55" s="18">
        <v>0.182</v>
      </c>
      <c r="I55" s="12">
        <v>35</v>
      </c>
      <c r="J55" s="12" t="s">
        <v>420</v>
      </c>
      <c r="K55" s="18">
        <v>0.14899999999999999</v>
      </c>
      <c r="L55" s="19" t="s">
        <v>456</v>
      </c>
      <c r="M55" s="19"/>
      <c r="N55" s="19" t="s">
        <v>529</v>
      </c>
      <c r="O55" s="19"/>
      <c r="P55" s="19" t="s">
        <v>566</v>
      </c>
      <c r="Q55" s="18">
        <v>0.95299999999999996</v>
      </c>
      <c r="R55" s="19" t="s">
        <v>450</v>
      </c>
      <c r="S55" s="18">
        <v>0.88100000000000001</v>
      </c>
      <c r="T55" s="21">
        <f>(1.03/1.04)/(1.17/1.18)</f>
        <v>0.99884944115713348</v>
      </c>
      <c r="U55" s="21">
        <f>(0.88/1.04)/(1.04/1.18)</f>
        <v>0.96005917159763299</v>
      </c>
      <c r="V55" s="6"/>
    </row>
    <row r="56" spans="2:23" x14ac:dyDescent="0.35">
      <c r="B56" s="17" t="s">
        <v>21</v>
      </c>
      <c r="C56" s="12">
        <v>33</v>
      </c>
      <c r="D56" s="12" t="s">
        <v>324</v>
      </c>
      <c r="E56" s="16"/>
      <c r="F56" s="12">
        <v>33</v>
      </c>
      <c r="G56" s="12" t="s">
        <v>369</v>
      </c>
      <c r="H56" s="16"/>
      <c r="I56" s="12">
        <v>32</v>
      </c>
      <c r="J56" s="12" t="s">
        <v>421</v>
      </c>
      <c r="K56" s="16"/>
      <c r="L56" s="19" t="s">
        <v>480</v>
      </c>
      <c r="M56" s="19"/>
      <c r="N56" s="19" t="s">
        <v>530</v>
      </c>
      <c r="O56" s="19"/>
      <c r="P56" s="6"/>
      <c r="Q56" s="23"/>
      <c r="R56" s="6"/>
      <c r="S56" s="23"/>
      <c r="T56" s="6"/>
      <c r="U56" s="6"/>
      <c r="V56" s="6"/>
    </row>
    <row r="57" spans="2:23" x14ac:dyDescent="0.35">
      <c r="B57" s="15" t="s">
        <v>22</v>
      </c>
      <c r="C57" s="12"/>
      <c r="D57" s="12"/>
      <c r="E57" s="16"/>
      <c r="F57" s="12"/>
      <c r="G57" s="12"/>
      <c r="H57" s="16"/>
      <c r="I57" s="12"/>
      <c r="J57" s="12"/>
      <c r="K57" s="16"/>
      <c r="L57" s="12"/>
      <c r="M57" s="12"/>
      <c r="N57" s="12"/>
      <c r="O57" s="12"/>
      <c r="P57" s="6"/>
      <c r="Q57" s="23"/>
      <c r="R57" s="6"/>
      <c r="S57" s="23"/>
      <c r="T57" s="6"/>
      <c r="U57" s="6"/>
      <c r="V57" s="6"/>
    </row>
    <row r="58" spans="2:23" x14ac:dyDescent="0.35">
      <c r="B58" s="17" t="s">
        <v>4</v>
      </c>
      <c r="C58" s="12">
        <v>19</v>
      </c>
      <c r="D58" s="12" t="s">
        <v>325</v>
      </c>
      <c r="E58" s="18">
        <v>0.23599999999999999</v>
      </c>
      <c r="F58" s="12">
        <v>18</v>
      </c>
      <c r="G58" s="12" t="s">
        <v>370</v>
      </c>
      <c r="H58" s="18">
        <v>0.23499999999999999</v>
      </c>
      <c r="I58" s="12">
        <v>19</v>
      </c>
      <c r="J58" s="12" t="s">
        <v>417</v>
      </c>
      <c r="K58" s="18">
        <v>0.25700000000000001</v>
      </c>
      <c r="L58" s="12" t="s">
        <v>469</v>
      </c>
      <c r="M58" s="12"/>
      <c r="N58" s="12" t="s">
        <v>498</v>
      </c>
      <c r="O58" s="12"/>
      <c r="P58" s="19" t="s">
        <v>563</v>
      </c>
      <c r="Q58" s="18">
        <v>0.98899999999999999</v>
      </c>
      <c r="R58" s="12" t="s">
        <v>583</v>
      </c>
      <c r="S58" s="18">
        <v>0.96399999999999997</v>
      </c>
      <c r="T58" s="21">
        <f>(0.92/0.91)/(1.07/1.06)</f>
        <v>1.001540515559207</v>
      </c>
      <c r="U58" s="21">
        <f>(0.99/0.91)/(1.13/1.06)</f>
        <v>1.0205193037051445</v>
      </c>
      <c r="V58" s="6"/>
    </row>
    <row r="59" spans="2:23" x14ac:dyDescent="0.35">
      <c r="B59" s="24" t="s">
        <v>21</v>
      </c>
      <c r="C59" s="25">
        <v>21</v>
      </c>
      <c r="D59" s="25" t="s">
        <v>326</v>
      </c>
      <c r="E59" s="25"/>
      <c r="F59" s="25">
        <v>21</v>
      </c>
      <c r="G59" s="25" t="s">
        <v>371</v>
      </c>
      <c r="H59" s="25"/>
      <c r="I59" s="25">
        <v>22</v>
      </c>
      <c r="J59" s="25" t="s">
        <v>422</v>
      </c>
      <c r="K59" s="26"/>
      <c r="L59" s="25" t="s">
        <v>470</v>
      </c>
      <c r="M59" s="25"/>
      <c r="N59" s="25" t="s">
        <v>499</v>
      </c>
      <c r="O59" s="25"/>
      <c r="P59" s="5"/>
      <c r="Q59" s="5"/>
      <c r="R59" s="5"/>
      <c r="S59" s="5"/>
      <c r="T59" s="5"/>
      <c r="U59" s="5"/>
      <c r="V59" s="6"/>
    </row>
    <row r="60" spans="2:23" x14ac:dyDescent="0.35">
      <c r="B60" s="13" t="s">
        <v>32</v>
      </c>
      <c r="C60" s="12"/>
      <c r="D60" s="12"/>
      <c r="E60" s="16"/>
      <c r="F60" s="12"/>
      <c r="G60" s="12"/>
      <c r="H60" s="16"/>
      <c r="I60" s="12"/>
      <c r="J60" s="12"/>
      <c r="K60" s="16"/>
      <c r="L60" s="12"/>
      <c r="M60" s="12"/>
      <c r="N60" s="12"/>
      <c r="O60" s="12"/>
      <c r="P60" s="6"/>
      <c r="Q60" s="23"/>
      <c r="R60" s="6"/>
      <c r="S60" s="23"/>
      <c r="T60" s="6"/>
      <c r="U60" s="6"/>
      <c r="V60" s="6"/>
    </row>
    <row r="61" spans="2:23" x14ac:dyDescent="0.35">
      <c r="B61" s="15" t="s">
        <v>20</v>
      </c>
      <c r="C61" s="12"/>
      <c r="D61" s="12"/>
      <c r="E61" s="16"/>
      <c r="F61" s="12"/>
      <c r="G61" s="12"/>
      <c r="H61" s="16"/>
      <c r="I61" s="12"/>
      <c r="J61" s="12"/>
      <c r="K61" s="16"/>
      <c r="L61" s="12"/>
      <c r="M61" s="12"/>
      <c r="N61" s="12"/>
      <c r="O61" s="12"/>
      <c r="P61" s="6"/>
      <c r="Q61" s="23"/>
      <c r="R61" s="6"/>
      <c r="S61" s="23"/>
      <c r="T61" s="6"/>
      <c r="U61" s="6"/>
      <c r="V61" s="6"/>
    </row>
    <row r="62" spans="2:23" x14ac:dyDescent="0.35">
      <c r="B62" s="17" t="s">
        <v>5</v>
      </c>
      <c r="C62" s="12">
        <v>33</v>
      </c>
      <c r="D62" s="12" t="s">
        <v>310</v>
      </c>
      <c r="E62" s="18">
        <v>0.68600000000000005</v>
      </c>
      <c r="F62" s="12">
        <v>33</v>
      </c>
      <c r="G62" s="12" t="s">
        <v>360</v>
      </c>
      <c r="H62" s="18">
        <v>0.86399999999999999</v>
      </c>
      <c r="I62" s="12">
        <v>33</v>
      </c>
      <c r="J62" s="21" t="s">
        <v>362</v>
      </c>
      <c r="K62" s="18">
        <v>0.80100000000000005</v>
      </c>
      <c r="L62" s="19" t="s">
        <v>472</v>
      </c>
      <c r="M62" s="19"/>
      <c r="N62" s="19" t="s">
        <v>524</v>
      </c>
      <c r="O62" s="19"/>
      <c r="P62" s="12" t="s">
        <v>559</v>
      </c>
      <c r="Q62" s="18">
        <v>0.86899999999999999</v>
      </c>
      <c r="R62" s="21" t="s">
        <v>595</v>
      </c>
      <c r="S62" s="18">
        <v>0.64300000000000002</v>
      </c>
      <c r="T62" s="21">
        <f>(1.57/1.65)/(1.36/1.38)</f>
        <v>0.96550802139037428</v>
      </c>
      <c r="U62" s="21">
        <f>(1.4/1.65)/(1.36/1.38)</f>
        <v>0.86096256684491967</v>
      </c>
      <c r="V62" s="6"/>
    </row>
    <row r="63" spans="2:23" x14ac:dyDescent="0.35">
      <c r="B63" s="17" t="s">
        <v>4</v>
      </c>
      <c r="C63" s="12">
        <v>33</v>
      </c>
      <c r="D63" s="21" t="s">
        <v>311</v>
      </c>
      <c r="E63" s="18">
        <v>0.17199999999999999</v>
      </c>
      <c r="F63" s="12">
        <v>33</v>
      </c>
      <c r="G63" s="12" t="s">
        <v>361</v>
      </c>
      <c r="H63" s="18">
        <v>0.97</v>
      </c>
      <c r="I63" s="12">
        <v>31</v>
      </c>
      <c r="J63" s="12" t="s">
        <v>415</v>
      </c>
      <c r="K63" s="18">
        <v>0.96</v>
      </c>
      <c r="L63" s="12" t="s">
        <v>473</v>
      </c>
      <c r="M63" s="12"/>
      <c r="N63" s="19" t="s">
        <v>526</v>
      </c>
      <c r="O63" s="19"/>
      <c r="P63" s="12" t="s">
        <v>560</v>
      </c>
      <c r="Q63" s="18">
        <v>0.34799999999999998</v>
      </c>
      <c r="R63" s="21" t="s">
        <v>596</v>
      </c>
      <c r="S63" s="18">
        <v>0.35799999999999998</v>
      </c>
      <c r="T63" s="21">
        <f>(1.59/1.5)/(1.36/1.38)</f>
        <v>1.0755882352941175</v>
      </c>
      <c r="U63" s="21">
        <f>(1.35/1.5)/(1.36/1.38)</f>
        <v>0.91323529411764692</v>
      </c>
      <c r="V63" s="6"/>
    </row>
    <row r="64" spans="2:23" x14ac:dyDescent="0.35">
      <c r="B64" s="22" t="s">
        <v>883</v>
      </c>
      <c r="C64" s="12">
        <v>36</v>
      </c>
      <c r="D64" s="12" t="s">
        <v>312</v>
      </c>
      <c r="E64" s="18">
        <v>0.03</v>
      </c>
      <c r="F64" s="12">
        <v>36</v>
      </c>
      <c r="G64" s="21" t="s">
        <v>362</v>
      </c>
      <c r="H64" s="18">
        <v>0.19600000000000001</v>
      </c>
      <c r="I64" s="12">
        <v>35</v>
      </c>
      <c r="J64" s="12" t="s">
        <v>416</v>
      </c>
      <c r="K64" s="18">
        <v>0.20599999999999999</v>
      </c>
      <c r="L64" s="12" t="s">
        <v>474</v>
      </c>
      <c r="M64" s="12"/>
      <c r="N64" s="19" t="s">
        <v>509</v>
      </c>
      <c r="O64" s="19"/>
      <c r="P64" s="12" t="s">
        <v>561</v>
      </c>
      <c r="Q64" s="18">
        <v>0.53</v>
      </c>
      <c r="R64" s="12" t="s">
        <v>561</v>
      </c>
      <c r="S64" s="18">
        <v>0.52900000000000003</v>
      </c>
      <c r="T64" s="21">
        <f>(1.4/1.38)/(1.36/1.38)</f>
        <v>1.0294117647058822</v>
      </c>
      <c r="U64" s="21">
        <f>(1.16/1.38)/(1.36/1.38)</f>
        <v>0.85294117647058809</v>
      </c>
      <c r="V64" s="6"/>
    </row>
    <row r="65" spans="2:22" x14ac:dyDescent="0.35">
      <c r="B65" s="17" t="s">
        <v>21</v>
      </c>
      <c r="C65" s="12">
        <v>33</v>
      </c>
      <c r="D65" s="12" t="s">
        <v>312</v>
      </c>
      <c r="E65" s="16"/>
      <c r="F65" s="12">
        <v>33</v>
      </c>
      <c r="G65" s="21" t="s">
        <v>363</v>
      </c>
      <c r="H65" s="16"/>
      <c r="I65" s="12">
        <v>32</v>
      </c>
      <c r="J65" s="12" t="s">
        <v>363</v>
      </c>
      <c r="K65" s="16"/>
      <c r="L65" s="19" t="s">
        <v>475</v>
      </c>
      <c r="M65" s="19"/>
      <c r="N65" s="19" t="s">
        <v>525</v>
      </c>
      <c r="O65" s="19"/>
      <c r="P65" s="6"/>
      <c r="Q65" s="23"/>
      <c r="R65" s="6"/>
      <c r="S65" s="23"/>
      <c r="T65" s="6"/>
      <c r="U65" s="6"/>
      <c r="V65" s="6"/>
    </row>
    <row r="66" spans="2:22" x14ac:dyDescent="0.35">
      <c r="B66" s="15" t="s">
        <v>22</v>
      </c>
      <c r="C66" s="12"/>
      <c r="D66" s="12"/>
      <c r="E66" s="16"/>
      <c r="F66" s="12"/>
      <c r="G66" s="12"/>
      <c r="H66" s="16"/>
      <c r="I66" s="12"/>
      <c r="J66" s="12"/>
      <c r="K66" s="16"/>
      <c r="L66" s="12"/>
      <c r="M66" s="12"/>
      <c r="N66" s="12"/>
      <c r="O66" s="12"/>
      <c r="P66" s="6"/>
      <c r="Q66" s="23"/>
      <c r="R66" s="6"/>
      <c r="S66" s="23"/>
      <c r="T66" s="6"/>
      <c r="U66" s="6"/>
      <c r="V66" s="6"/>
    </row>
    <row r="67" spans="2:22" x14ac:dyDescent="0.35">
      <c r="B67" s="17" t="s">
        <v>4</v>
      </c>
      <c r="C67" s="12">
        <v>19</v>
      </c>
      <c r="D67" s="12" t="s">
        <v>313</v>
      </c>
      <c r="E67" s="18">
        <v>0.30499999999999999</v>
      </c>
      <c r="F67" s="12">
        <v>18</v>
      </c>
      <c r="G67" s="12" t="s">
        <v>364</v>
      </c>
      <c r="H67" s="18">
        <v>0.49199999999999999</v>
      </c>
      <c r="I67" s="12">
        <v>19</v>
      </c>
      <c r="J67" s="12" t="s">
        <v>313</v>
      </c>
      <c r="K67" s="18">
        <v>0.26500000000000001</v>
      </c>
      <c r="L67" s="19" t="s">
        <v>476</v>
      </c>
      <c r="M67" s="19"/>
      <c r="N67" s="19" t="s">
        <v>515</v>
      </c>
      <c r="O67" s="19"/>
      <c r="P67" s="19" t="s">
        <v>562</v>
      </c>
      <c r="Q67" s="18">
        <v>0.81599999999999995</v>
      </c>
      <c r="R67" s="12" t="s">
        <v>597</v>
      </c>
      <c r="S67" s="18">
        <v>0.95699999999999996</v>
      </c>
      <c r="T67" s="21">
        <f>(1.14/1.15)/(1.05/1)</f>
        <v>0.94409937888198747</v>
      </c>
      <c r="U67" s="21">
        <f>(1.15/1.15)/(0.99/1)</f>
        <v>1.0101010101010102</v>
      </c>
      <c r="V67" s="6"/>
    </row>
    <row r="68" spans="2:22" x14ac:dyDescent="0.35">
      <c r="B68" s="24" t="s">
        <v>21</v>
      </c>
      <c r="C68" s="25">
        <v>21</v>
      </c>
      <c r="D68" s="27" t="s">
        <v>314</v>
      </c>
      <c r="E68" s="26"/>
      <c r="F68" s="25">
        <v>21</v>
      </c>
      <c r="G68" s="25" t="s">
        <v>365</v>
      </c>
      <c r="H68" s="26"/>
      <c r="I68" s="25">
        <v>22</v>
      </c>
      <c r="J68" s="25" t="s">
        <v>417</v>
      </c>
      <c r="K68" s="26"/>
      <c r="L68" s="25" t="s">
        <v>477</v>
      </c>
      <c r="M68" s="25"/>
      <c r="N68" s="28" t="s">
        <v>516</v>
      </c>
      <c r="O68" s="28"/>
      <c r="P68" s="5"/>
      <c r="Q68" s="29"/>
      <c r="R68" s="5"/>
      <c r="S68" s="29"/>
      <c r="T68" s="5"/>
      <c r="U68" s="5"/>
      <c r="V68" s="6"/>
    </row>
    <row r="69" spans="2:22" x14ac:dyDescent="0.35">
      <c r="B69" s="13" t="s">
        <v>971</v>
      </c>
      <c r="C69" s="12"/>
      <c r="D69" s="12"/>
      <c r="E69" s="16"/>
      <c r="F69" s="12"/>
      <c r="G69" s="12"/>
      <c r="H69" s="16"/>
      <c r="I69" s="12"/>
      <c r="J69" s="12"/>
      <c r="K69" s="16"/>
      <c r="L69" s="12"/>
      <c r="M69" s="12"/>
      <c r="N69" s="12"/>
      <c r="O69" s="12"/>
      <c r="P69" s="12"/>
      <c r="Q69" s="16"/>
      <c r="R69" s="12"/>
      <c r="S69" s="16"/>
      <c r="T69" s="6"/>
      <c r="U69" s="12"/>
      <c r="V69" s="6"/>
    </row>
    <row r="70" spans="2:22" x14ac:dyDescent="0.35">
      <c r="B70" s="15" t="s">
        <v>20</v>
      </c>
      <c r="C70" s="12"/>
      <c r="D70" s="12"/>
      <c r="E70" s="16"/>
      <c r="F70" s="12"/>
      <c r="G70" s="12"/>
      <c r="H70" s="16"/>
      <c r="I70" s="12"/>
      <c r="J70" s="12"/>
      <c r="K70" s="16"/>
      <c r="L70" s="12"/>
      <c r="M70" s="12"/>
      <c r="N70" s="12"/>
      <c r="O70" s="12"/>
      <c r="P70" s="12"/>
      <c r="Q70" s="16"/>
      <c r="R70" s="12"/>
      <c r="S70" s="16"/>
      <c r="T70" s="6"/>
      <c r="U70" s="12"/>
      <c r="V70" s="6"/>
    </row>
    <row r="71" spans="2:22" x14ac:dyDescent="0.35">
      <c r="B71" s="17" t="s">
        <v>5</v>
      </c>
      <c r="C71" s="12">
        <v>33</v>
      </c>
      <c r="D71" s="12" t="s">
        <v>304</v>
      </c>
      <c r="E71" s="18">
        <v>5.8999999999999997E-2</v>
      </c>
      <c r="F71" s="12">
        <v>33</v>
      </c>
      <c r="G71" s="12" t="s">
        <v>355</v>
      </c>
      <c r="H71" s="18">
        <v>1.7000000000000001E-2</v>
      </c>
      <c r="I71" s="12">
        <v>33</v>
      </c>
      <c r="J71" s="12" t="s">
        <v>410</v>
      </c>
      <c r="K71" s="18">
        <v>1.7000000000000001E-2</v>
      </c>
      <c r="L71" s="19" t="s">
        <v>454</v>
      </c>
      <c r="M71" s="19"/>
      <c r="N71" s="19" t="s">
        <v>520</v>
      </c>
      <c r="O71" s="19"/>
      <c r="P71" s="19" t="s">
        <v>555</v>
      </c>
      <c r="Q71" s="18">
        <v>0.72299999999999998</v>
      </c>
      <c r="R71" s="19" t="s">
        <v>555</v>
      </c>
      <c r="S71" s="18">
        <v>0.71</v>
      </c>
      <c r="T71" s="21">
        <f>(1.65/1.73)/(1.9/1.93)</f>
        <v>0.96881655004563427</v>
      </c>
      <c r="U71" s="21">
        <f>(1.46/1.73)/(1.71/1.93)</f>
        <v>0.95250650711557316</v>
      </c>
      <c r="V71" s="6"/>
    </row>
    <row r="72" spans="2:22" x14ac:dyDescent="0.35">
      <c r="B72" s="17" t="s">
        <v>4</v>
      </c>
      <c r="C72" s="12">
        <v>33</v>
      </c>
      <c r="D72" s="12" t="s">
        <v>305</v>
      </c>
      <c r="E72" s="18">
        <v>2.1999999999999999E-2</v>
      </c>
      <c r="F72" s="12">
        <v>33</v>
      </c>
      <c r="G72" s="21" t="s">
        <v>356</v>
      </c>
      <c r="H72" s="18">
        <v>5.3999999999999999E-2</v>
      </c>
      <c r="I72" s="12">
        <v>31</v>
      </c>
      <c r="J72" s="12" t="s">
        <v>411</v>
      </c>
      <c r="K72" s="18">
        <v>4.1000000000000002E-2</v>
      </c>
      <c r="L72" s="12" t="s">
        <v>455</v>
      </c>
      <c r="M72" s="12"/>
      <c r="N72" s="20" t="s">
        <v>521</v>
      </c>
      <c r="O72" s="20"/>
      <c r="P72" s="12" t="s">
        <v>556</v>
      </c>
      <c r="Q72" s="18">
        <v>0.79800000000000004</v>
      </c>
      <c r="R72" s="12" t="s">
        <v>474</v>
      </c>
      <c r="S72" s="18">
        <v>0.89200000000000002</v>
      </c>
      <c r="T72" s="21">
        <f>(1.7/1.69)/(1.9/1.93)</f>
        <v>1.0218000622858923</v>
      </c>
      <c r="U72" s="21">
        <f>(1.49/1.69)/(1.71/1.93)</f>
        <v>0.99508633516730682</v>
      </c>
      <c r="V72" s="6"/>
    </row>
    <row r="73" spans="2:22" x14ac:dyDescent="0.35">
      <c r="B73" s="22" t="s">
        <v>883</v>
      </c>
      <c r="C73" s="12">
        <v>36</v>
      </c>
      <c r="D73" s="12" t="s">
        <v>306</v>
      </c>
      <c r="E73" s="18">
        <v>4.1000000000000002E-2</v>
      </c>
      <c r="F73" s="12">
        <v>36</v>
      </c>
      <c r="G73" s="12" t="s">
        <v>357</v>
      </c>
      <c r="H73" s="18">
        <v>6.2E-2</v>
      </c>
      <c r="I73" s="12">
        <v>35</v>
      </c>
      <c r="J73" s="21" t="s">
        <v>412</v>
      </c>
      <c r="K73" s="18">
        <v>4.2000000000000003E-2</v>
      </c>
      <c r="L73" s="19" t="s">
        <v>456</v>
      </c>
      <c r="M73" s="19"/>
      <c r="N73" s="19" t="s">
        <v>522</v>
      </c>
      <c r="O73" s="19"/>
      <c r="P73" s="12" t="s">
        <v>557</v>
      </c>
      <c r="Q73" s="18">
        <v>0.90200000000000002</v>
      </c>
      <c r="R73" s="19" t="s">
        <v>593</v>
      </c>
      <c r="S73" s="18">
        <v>0.98599999999999999</v>
      </c>
      <c r="T73" s="21">
        <f>(1.71/1.72)/(1.9/1.93)</f>
        <v>1.0098837209302327</v>
      </c>
      <c r="U73" s="21">
        <f>(1.5/1.72)/(1.71/1.93)</f>
        <v>0.98429212566299462</v>
      </c>
      <c r="V73" s="6"/>
    </row>
    <row r="74" spans="2:22" x14ac:dyDescent="0.35">
      <c r="B74" s="17" t="s">
        <v>21</v>
      </c>
      <c r="C74" s="12">
        <v>33</v>
      </c>
      <c r="D74" s="12" t="s">
        <v>307</v>
      </c>
      <c r="E74" s="16"/>
      <c r="F74" s="12">
        <v>33</v>
      </c>
      <c r="G74" s="21" t="s">
        <v>358</v>
      </c>
      <c r="H74" s="16"/>
      <c r="I74" s="12">
        <v>32</v>
      </c>
      <c r="J74" s="12" t="s">
        <v>357</v>
      </c>
      <c r="K74" s="16"/>
      <c r="L74" s="19" t="s">
        <v>457</v>
      </c>
      <c r="M74" s="19"/>
      <c r="N74" s="19" t="s">
        <v>522</v>
      </c>
      <c r="O74" s="19"/>
      <c r="P74" s="12"/>
      <c r="Q74" s="16"/>
      <c r="R74" s="12"/>
      <c r="S74" s="16"/>
      <c r="T74" s="6"/>
      <c r="U74" s="6"/>
      <c r="V74" s="6"/>
    </row>
    <row r="75" spans="2:22" x14ac:dyDescent="0.35">
      <c r="B75" s="15" t="s">
        <v>22</v>
      </c>
      <c r="C75" s="12"/>
      <c r="D75" s="12"/>
      <c r="E75" s="16"/>
      <c r="F75" s="12"/>
      <c r="G75" s="12"/>
      <c r="H75" s="16"/>
      <c r="I75" s="12"/>
      <c r="J75" s="12"/>
      <c r="K75" s="16"/>
      <c r="L75" s="12"/>
      <c r="M75" s="12"/>
      <c r="N75" s="12"/>
      <c r="O75" s="12"/>
      <c r="P75" s="12"/>
      <c r="Q75" s="16"/>
      <c r="R75" s="12"/>
      <c r="S75" s="16"/>
      <c r="T75" s="6"/>
      <c r="U75" s="6"/>
      <c r="V75" s="6"/>
    </row>
    <row r="76" spans="2:22" x14ac:dyDescent="0.35">
      <c r="B76" s="17" t="s">
        <v>4</v>
      </c>
      <c r="C76" s="12">
        <v>19</v>
      </c>
      <c r="D76" s="12" t="s">
        <v>308</v>
      </c>
      <c r="E76" s="18">
        <v>0.188</v>
      </c>
      <c r="F76" s="12">
        <v>18</v>
      </c>
      <c r="G76" s="12" t="s">
        <v>308</v>
      </c>
      <c r="H76" s="18">
        <v>0.45300000000000001</v>
      </c>
      <c r="I76" s="12">
        <v>19</v>
      </c>
      <c r="J76" s="12" t="s">
        <v>413</v>
      </c>
      <c r="K76" s="18">
        <v>0.33300000000000002</v>
      </c>
      <c r="L76" s="12" t="s">
        <v>458</v>
      </c>
      <c r="M76" s="12"/>
      <c r="N76" s="19" t="s">
        <v>523</v>
      </c>
      <c r="O76" s="19"/>
      <c r="P76" s="19" t="s">
        <v>558</v>
      </c>
      <c r="Q76" s="18">
        <v>0.69599999999999995</v>
      </c>
      <c r="R76" s="19" t="s">
        <v>594</v>
      </c>
      <c r="S76" s="18">
        <v>0.79800000000000004</v>
      </c>
      <c r="T76" s="21">
        <f>(1.35/1.35)/(1.29/1.23)</f>
        <v>0.95348837209302317</v>
      </c>
      <c r="U76" s="21">
        <f>(1.34/1.35)/(1.25/1.23)</f>
        <v>0.97671111111111097</v>
      </c>
      <c r="V76" s="6"/>
    </row>
    <row r="77" spans="2:22" x14ac:dyDescent="0.35">
      <c r="B77" s="17" t="s">
        <v>21</v>
      </c>
      <c r="C77" s="12">
        <v>21</v>
      </c>
      <c r="D77" s="12" t="s">
        <v>309</v>
      </c>
      <c r="E77" s="16"/>
      <c r="F77" s="12">
        <v>21</v>
      </c>
      <c r="G77" s="12" t="s">
        <v>359</v>
      </c>
      <c r="H77" s="16"/>
      <c r="I77" s="12">
        <v>22</v>
      </c>
      <c r="J77" s="12" t="s">
        <v>414</v>
      </c>
      <c r="K77" s="16"/>
      <c r="L77" s="12" t="s">
        <v>459</v>
      </c>
      <c r="M77" s="12"/>
      <c r="N77" s="12" t="s">
        <v>514</v>
      </c>
      <c r="O77" s="12"/>
      <c r="P77" s="6"/>
      <c r="Q77" s="23"/>
      <c r="R77" s="6"/>
      <c r="S77" s="23"/>
      <c r="T77" s="6"/>
      <c r="U77" s="6"/>
      <c r="V77" s="6"/>
    </row>
    <row r="78" spans="2:22" x14ac:dyDescent="0.35">
      <c r="B78" s="13" t="s">
        <v>970</v>
      </c>
      <c r="C78" s="12"/>
      <c r="D78" s="12"/>
      <c r="E78" s="16"/>
      <c r="F78" s="12"/>
      <c r="G78" s="12"/>
      <c r="H78" s="16"/>
      <c r="I78" s="12"/>
      <c r="J78" s="12"/>
      <c r="K78" s="16"/>
      <c r="L78" s="12"/>
      <c r="M78" s="12"/>
      <c r="N78" s="12"/>
      <c r="O78" s="12"/>
      <c r="P78" s="6"/>
      <c r="Q78" s="23"/>
      <c r="R78" s="6"/>
      <c r="S78" s="23"/>
      <c r="T78" s="6"/>
      <c r="U78" s="12"/>
      <c r="V78" s="6"/>
    </row>
    <row r="79" spans="2:22" x14ac:dyDescent="0.35">
      <c r="B79" s="15" t="s">
        <v>20</v>
      </c>
      <c r="C79" s="12"/>
      <c r="D79" s="12"/>
      <c r="E79" s="16"/>
      <c r="F79" s="12"/>
      <c r="G79" s="12"/>
      <c r="H79" s="16"/>
      <c r="I79" s="12"/>
      <c r="J79" s="12"/>
      <c r="K79" s="16"/>
      <c r="L79" s="12"/>
      <c r="M79" s="12"/>
      <c r="N79" s="12"/>
      <c r="O79" s="12"/>
      <c r="P79" s="12"/>
      <c r="Q79" s="16"/>
      <c r="R79" s="12"/>
      <c r="S79" s="16"/>
      <c r="T79" s="12"/>
      <c r="U79" s="12"/>
      <c r="V79" s="6"/>
    </row>
    <row r="80" spans="2:22" x14ac:dyDescent="0.35">
      <c r="B80" s="17" t="s">
        <v>5</v>
      </c>
      <c r="C80" s="12">
        <v>33</v>
      </c>
      <c r="D80" s="12" t="s">
        <v>298</v>
      </c>
      <c r="E80" s="18">
        <v>0.34499999999999997</v>
      </c>
      <c r="F80" s="12">
        <v>33</v>
      </c>
      <c r="G80" s="12" t="s">
        <v>350</v>
      </c>
      <c r="H80" s="18">
        <v>0.29199999999999998</v>
      </c>
      <c r="I80" s="12">
        <v>33</v>
      </c>
      <c r="J80" s="12" t="s">
        <v>360</v>
      </c>
      <c r="K80" s="18">
        <v>0.58799999999999997</v>
      </c>
      <c r="L80" s="19" t="s">
        <v>448</v>
      </c>
      <c r="M80" s="19"/>
      <c r="N80" s="19" t="s">
        <v>509</v>
      </c>
      <c r="O80" s="19"/>
      <c r="P80" s="19" t="s">
        <v>545</v>
      </c>
      <c r="Q80" s="18">
        <v>0.93899999999999995</v>
      </c>
      <c r="R80" s="12" t="s">
        <v>579</v>
      </c>
      <c r="S80" s="18">
        <v>0.77900000000000003</v>
      </c>
      <c r="T80" s="21">
        <f>(1.72/1.79)/(1.88/1.94)</f>
        <v>0.99156067990015451</v>
      </c>
      <c r="U80" s="21">
        <f>(1.57/1.79)/(1.66/1.94)</f>
        <v>1.0250387022952145</v>
      </c>
      <c r="V80" s="6"/>
    </row>
    <row r="81" spans="1:23" x14ac:dyDescent="0.35">
      <c r="B81" s="17" t="s">
        <v>4</v>
      </c>
      <c r="C81" s="12">
        <v>33</v>
      </c>
      <c r="D81" s="21" t="s">
        <v>299</v>
      </c>
      <c r="E81" s="18">
        <v>0.114</v>
      </c>
      <c r="F81" s="12">
        <v>33</v>
      </c>
      <c r="G81" s="12" t="s">
        <v>351</v>
      </c>
      <c r="H81" s="18">
        <v>0.38900000000000001</v>
      </c>
      <c r="I81" s="12">
        <v>31</v>
      </c>
      <c r="J81" s="12" t="s">
        <v>405</v>
      </c>
      <c r="K81" s="18">
        <v>0.28000000000000003</v>
      </c>
      <c r="L81" s="12" t="s">
        <v>449</v>
      </c>
      <c r="M81" s="12"/>
      <c r="N81" s="19" t="s">
        <v>510</v>
      </c>
      <c r="O81" s="19"/>
      <c r="P81" s="12" t="s">
        <v>543</v>
      </c>
      <c r="Q81" s="18">
        <v>0.60899999999999999</v>
      </c>
      <c r="R81" s="12" t="s">
        <v>580</v>
      </c>
      <c r="S81" s="18">
        <v>0.73899999999999999</v>
      </c>
      <c r="T81" s="21">
        <f>(1.74/1.7)/(1.88/1.94)</f>
        <v>1.0561952440550688</v>
      </c>
      <c r="U81" s="21">
        <f>(1.49/1.7)/(1.66/1.94)</f>
        <v>1.0243090007087172</v>
      </c>
      <c r="V81" s="6"/>
    </row>
    <row r="82" spans="1:23" x14ac:dyDescent="0.35">
      <c r="B82" s="22" t="s">
        <v>883</v>
      </c>
      <c r="C82" s="12">
        <v>36</v>
      </c>
      <c r="D82" s="12" t="s">
        <v>300</v>
      </c>
      <c r="E82" s="18">
        <v>6.2E-2</v>
      </c>
      <c r="F82" s="12">
        <v>36</v>
      </c>
      <c r="G82" s="12" t="s">
        <v>352</v>
      </c>
      <c r="H82" s="18">
        <v>0.12</v>
      </c>
      <c r="I82" s="12">
        <v>35</v>
      </c>
      <c r="J82" s="12" t="s">
        <v>406</v>
      </c>
      <c r="K82" s="18">
        <v>0.13500000000000001</v>
      </c>
      <c r="L82" s="19" t="s">
        <v>450</v>
      </c>
      <c r="M82" s="19"/>
      <c r="N82" s="19" t="s">
        <v>511</v>
      </c>
      <c r="O82" s="19"/>
      <c r="P82" s="12" t="s">
        <v>544</v>
      </c>
      <c r="Q82" s="18">
        <v>0.82699999999999996</v>
      </c>
      <c r="R82" s="12" t="s">
        <v>581</v>
      </c>
      <c r="S82" s="18">
        <v>0.80700000000000005</v>
      </c>
      <c r="T82" s="21">
        <f>(1.64/1.66)/(1.88/1.94)</f>
        <v>1.0194821840553703</v>
      </c>
      <c r="U82" s="21">
        <f>(1.43/1.66)/(1.66/1.94)</f>
        <v>1.0067498911307884</v>
      </c>
      <c r="V82" s="6"/>
    </row>
    <row r="83" spans="1:23" x14ac:dyDescent="0.35">
      <c r="B83" s="17" t="s">
        <v>21</v>
      </c>
      <c r="C83" s="12">
        <v>33</v>
      </c>
      <c r="D83" s="12" t="s">
        <v>301</v>
      </c>
      <c r="E83" s="16"/>
      <c r="F83" s="12">
        <v>33</v>
      </c>
      <c r="G83" s="12" t="s">
        <v>353</v>
      </c>
      <c r="H83" s="16"/>
      <c r="I83" s="12">
        <v>32</v>
      </c>
      <c r="J83" s="12" t="s">
        <v>407</v>
      </c>
      <c r="K83" s="16"/>
      <c r="L83" s="19" t="s">
        <v>451</v>
      </c>
      <c r="M83" s="19"/>
      <c r="N83" s="19" t="s">
        <v>512</v>
      </c>
      <c r="O83" s="19"/>
      <c r="P83" s="12"/>
      <c r="Q83" s="16"/>
      <c r="R83" s="12"/>
      <c r="S83" s="16"/>
      <c r="T83" s="12"/>
      <c r="U83" s="12"/>
      <c r="V83" s="6"/>
    </row>
    <row r="84" spans="1:23" x14ac:dyDescent="0.35">
      <c r="B84" s="15" t="s">
        <v>22</v>
      </c>
      <c r="C84" s="12"/>
      <c r="D84" s="12"/>
      <c r="E84" s="16"/>
      <c r="F84" s="12"/>
      <c r="G84" s="12"/>
      <c r="H84" s="16"/>
      <c r="I84" s="12"/>
      <c r="J84" s="12"/>
      <c r="K84" s="16"/>
      <c r="L84" s="12"/>
      <c r="M84" s="12"/>
      <c r="N84" s="12"/>
      <c r="O84" s="12"/>
      <c r="P84" s="12"/>
      <c r="Q84" s="16"/>
      <c r="R84" s="12"/>
      <c r="S84" s="16"/>
      <c r="T84" s="12"/>
      <c r="U84" s="12"/>
      <c r="V84" s="6"/>
    </row>
    <row r="85" spans="1:23" x14ac:dyDescent="0.35">
      <c r="B85" s="17" t="s">
        <v>4</v>
      </c>
      <c r="C85" s="12">
        <v>19</v>
      </c>
      <c r="D85" s="12" t="s">
        <v>302</v>
      </c>
      <c r="E85" s="18">
        <v>0.28699999999999998</v>
      </c>
      <c r="F85" s="12">
        <v>18</v>
      </c>
      <c r="G85" s="12" t="s">
        <v>302</v>
      </c>
      <c r="H85" s="18">
        <v>0.38700000000000001</v>
      </c>
      <c r="I85" s="12">
        <v>19</v>
      </c>
      <c r="J85" s="12" t="s">
        <v>408</v>
      </c>
      <c r="K85" s="18">
        <v>0.32300000000000001</v>
      </c>
      <c r="L85" s="19" t="s">
        <v>452</v>
      </c>
      <c r="M85" s="19"/>
      <c r="N85" s="19" t="s">
        <v>513</v>
      </c>
      <c r="O85" s="19"/>
      <c r="P85" s="19" t="s">
        <v>554</v>
      </c>
      <c r="Q85" s="18">
        <v>0.89500000000000002</v>
      </c>
      <c r="R85" s="19" t="s">
        <v>582</v>
      </c>
      <c r="S85" s="18">
        <v>0.95099999999999996</v>
      </c>
      <c r="T85" s="21">
        <f>(1.57/1.57)/(1.4/1.37)</f>
        <v>0.97857142857142876</v>
      </c>
      <c r="U85" s="21">
        <f>(1.53/1.57)/(1.35/1.37)</f>
        <v>0.98895966029723992</v>
      </c>
      <c r="V85" s="6"/>
    </row>
    <row r="86" spans="1:23" s="1" customFormat="1" x14ac:dyDescent="0.35">
      <c r="A86" s="30"/>
      <c r="B86" s="24" t="s">
        <v>21</v>
      </c>
      <c r="C86" s="25">
        <v>21</v>
      </c>
      <c r="D86" s="25" t="s">
        <v>303</v>
      </c>
      <c r="E86" s="26"/>
      <c r="F86" s="25">
        <v>21</v>
      </c>
      <c r="G86" s="27" t="s">
        <v>354</v>
      </c>
      <c r="H86" s="26"/>
      <c r="I86" s="25">
        <v>22</v>
      </c>
      <c r="J86" s="25" t="s">
        <v>409</v>
      </c>
      <c r="K86" s="26"/>
      <c r="L86" s="25" t="s">
        <v>453</v>
      </c>
      <c r="M86" s="25"/>
      <c r="N86" s="28" t="s">
        <v>519</v>
      </c>
      <c r="O86" s="28"/>
      <c r="P86" s="5"/>
      <c r="Q86" s="29"/>
      <c r="R86" s="5"/>
      <c r="S86" s="29"/>
      <c r="T86" s="5"/>
      <c r="U86" s="25"/>
      <c r="V86" s="5"/>
      <c r="W86" s="30"/>
    </row>
    <row r="87" spans="1:23" s="75" customFormat="1" ht="13" x14ac:dyDescent="0.3">
      <c r="A87" s="66"/>
      <c r="B87" s="142" t="s">
        <v>906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68"/>
      <c r="W87" s="68"/>
    </row>
    <row r="88" spans="1:23" s="75" customFormat="1" ht="13" x14ac:dyDescent="0.3">
      <c r="A88" s="66"/>
      <c r="B88" s="141" t="s">
        <v>894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68"/>
      <c r="W88" s="68"/>
    </row>
    <row r="89" spans="1:23" s="75" customFormat="1" x14ac:dyDescent="0.3">
      <c r="A89" s="66"/>
      <c r="B89" s="140" t="s">
        <v>990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68"/>
      <c r="W89" s="66"/>
    </row>
    <row r="90" spans="1:23" s="75" customFormat="1" x14ac:dyDescent="0.3">
      <c r="A90" s="66"/>
      <c r="B90" s="73" t="s">
        <v>982</v>
      </c>
      <c r="C90" s="67"/>
      <c r="D90" s="67"/>
      <c r="E90" s="67"/>
      <c r="F90" s="67"/>
      <c r="G90" s="67"/>
      <c r="H90" s="67"/>
      <c r="I90" s="67"/>
      <c r="J90" s="67"/>
      <c r="K90" s="68"/>
      <c r="L90" s="76"/>
      <c r="M90" s="76"/>
      <c r="N90" s="76"/>
      <c r="O90" s="68"/>
      <c r="P90" s="68"/>
      <c r="Q90" s="68"/>
      <c r="R90" s="68"/>
      <c r="S90" s="67"/>
      <c r="T90" s="68"/>
      <c r="U90" s="68"/>
      <c r="V90" s="68"/>
      <c r="W90" s="66"/>
    </row>
    <row r="91" spans="1:23" s="75" customFormat="1" x14ac:dyDescent="0.3">
      <c r="A91" s="66"/>
      <c r="B91" s="73" t="s">
        <v>991</v>
      </c>
      <c r="C91" s="67"/>
      <c r="D91" s="67"/>
      <c r="E91" s="67"/>
      <c r="F91" s="67"/>
      <c r="G91" s="67"/>
      <c r="H91" s="67"/>
      <c r="I91" s="67"/>
      <c r="J91" s="67"/>
      <c r="K91" s="68"/>
      <c r="L91" s="76"/>
      <c r="M91" s="76"/>
      <c r="N91" s="76"/>
      <c r="O91" s="68"/>
      <c r="P91" s="68"/>
      <c r="Q91" s="68"/>
      <c r="R91" s="68"/>
      <c r="S91" s="67"/>
      <c r="T91" s="68"/>
      <c r="U91" s="68"/>
      <c r="V91" s="68"/>
      <c r="W91" s="66"/>
    </row>
    <row r="92" spans="1:23" s="75" customFormat="1" x14ac:dyDescent="0.3">
      <c r="A92" s="66"/>
      <c r="B92" s="77" t="s">
        <v>983</v>
      </c>
      <c r="C92" s="67"/>
      <c r="D92" s="67"/>
      <c r="E92" s="67"/>
      <c r="F92" s="67"/>
      <c r="G92" s="67"/>
      <c r="H92" s="67"/>
      <c r="I92" s="67"/>
      <c r="J92" s="67"/>
      <c r="K92" s="68"/>
      <c r="L92" s="76"/>
      <c r="M92" s="76"/>
      <c r="N92" s="76"/>
      <c r="O92" s="68"/>
      <c r="P92" s="68"/>
      <c r="Q92" s="68"/>
      <c r="R92" s="68"/>
      <c r="S92" s="67"/>
      <c r="T92" s="68"/>
      <c r="U92" s="68"/>
      <c r="V92" s="68"/>
      <c r="W92" s="66"/>
    </row>
    <row r="93" spans="1:23" s="75" customFormat="1" x14ac:dyDescent="0.3">
      <c r="A93" s="66"/>
      <c r="B93" s="77" t="s">
        <v>992</v>
      </c>
      <c r="C93" s="67"/>
      <c r="D93" s="67"/>
      <c r="E93" s="67"/>
      <c r="F93" s="67"/>
      <c r="G93" s="67"/>
      <c r="H93" s="67"/>
      <c r="I93" s="67"/>
      <c r="J93" s="67"/>
      <c r="K93" s="68"/>
      <c r="L93" s="76"/>
      <c r="M93" s="76"/>
      <c r="N93" s="76"/>
      <c r="O93" s="68"/>
      <c r="P93" s="68"/>
      <c r="Q93" s="68"/>
      <c r="R93" s="68"/>
      <c r="S93" s="67"/>
      <c r="T93" s="68"/>
      <c r="U93" s="68"/>
      <c r="V93" s="68"/>
      <c r="W93" s="66"/>
    </row>
    <row r="94" spans="1:23" x14ac:dyDescent="0.35">
      <c r="B94" s="151" t="s">
        <v>1520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6"/>
      <c r="Q94" s="6"/>
      <c r="R94" s="6"/>
      <c r="S94" s="6"/>
      <c r="T94" s="6"/>
      <c r="U94" s="6"/>
    </row>
    <row r="95" spans="1:23" x14ac:dyDescent="0.35">
      <c r="B95" s="151" t="s">
        <v>1521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23" x14ac:dyDescent="0.35">
      <c r="B96" s="39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2:21" x14ac:dyDescent="0.35">
      <c r="B97" s="36"/>
      <c r="C97" s="12"/>
      <c r="D97" s="38"/>
      <c r="E97" s="38"/>
      <c r="F97" s="12"/>
      <c r="G97" s="38"/>
      <c r="H97" s="38"/>
      <c r="I97" s="12"/>
      <c r="J97" s="38"/>
      <c r="K97" s="38"/>
      <c r="L97" s="38"/>
      <c r="M97" s="38"/>
      <c r="N97" s="38"/>
      <c r="O97" s="38"/>
      <c r="P97" s="38"/>
      <c r="Q97" s="40"/>
      <c r="R97" s="38"/>
      <c r="S97" s="38"/>
      <c r="T97" s="41"/>
      <c r="U97" s="41"/>
    </row>
    <row r="98" spans="2:21" x14ac:dyDescent="0.35">
      <c r="B98" s="36"/>
      <c r="C98" s="12"/>
      <c r="D98" s="38"/>
      <c r="E98" s="38"/>
      <c r="F98" s="12"/>
      <c r="G98" s="38"/>
      <c r="H98" s="38"/>
      <c r="I98" s="12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41"/>
      <c r="U98" s="41"/>
    </row>
    <row r="99" spans="2:21" x14ac:dyDescent="0.35">
      <c r="B99" s="36"/>
      <c r="C99" s="12"/>
      <c r="D99" s="41"/>
      <c r="E99" s="38"/>
      <c r="F99" s="12"/>
      <c r="G99" s="38"/>
      <c r="H99" s="38"/>
      <c r="I99" s="12"/>
      <c r="J99" s="38"/>
      <c r="K99" s="38"/>
      <c r="L99" s="38"/>
      <c r="M99" s="38"/>
      <c r="N99" s="38"/>
      <c r="O99" s="38"/>
      <c r="P99" s="41"/>
      <c r="Q99" s="38"/>
      <c r="R99" s="38"/>
      <c r="S99" s="38"/>
      <c r="T99" s="41"/>
      <c r="U99" s="41"/>
    </row>
    <row r="100" spans="2:21" x14ac:dyDescent="0.35">
      <c r="B100" s="36"/>
      <c r="C100" s="12"/>
      <c r="D100" s="38"/>
      <c r="E100" s="38"/>
      <c r="F100" s="12"/>
      <c r="G100" s="38"/>
      <c r="H100" s="38"/>
      <c r="I100" s="12"/>
      <c r="J100" s="38"/>
      <c r="K100" s="38"/>
      <c r="L100" s="38"/>
      <c r="M100" s="38"/>
      <c r="N100" s="38"/>
      <c r="O100" s="38"/>
    </row>
    <row r="101" spans="2:21" x14ac:dyDescent="0.35">
      <c r="B101" s="39"/>
      <c r="C101" s="12"/>
      <c r="D101" s="38"/>
      <c r="E101" s="38"/>
      <c r="F101" s="12"/>
      <c r="G101" s="38"/>
      <c r="H101" s="38"/>
      <c r="I101" s="12"/>
      <c r="J101" s="38"/>
      <c r="K101" s="38"/>
      <c r="L101" s="38"/>
      <c r="M101" s="38"/>
      <c r="N101" s="38"/>
      <c r="O101" s="38"/>
    </row>
    <row r="102" spans="2:21" x14ac:dyDescent="0.35">
      <c r="B102" s="36"/>
      <c r="C102" s="12"/>
      <c r="D102" s="38"/>
      <c r="E102" s="38"/>
      <c r="F102" s="12"/>
      <c r="G102" s="38"/>
      <c r="H102" s="38"/>
      <c r="I102" s="12"/>
      <c r="J102" s="38"/>
      <c r="K102" s="38"/>
      <c r="L102" s="41"/>
      <c r="M102" s="41"/>
      <c r="N102" s="38"/>
      <c r="O102" s="38"/>
      <c r="P102" s="38"/>
      <c r="Q102" s="38"/>
      <c r="R102" s="38"/>
      <c r="S102" s="38"/>
      <c r="T102" s="41"/>
      <c r="U102" s="41"/>
    </row>
    <row r="103" spans="2:21" x14ac:dyDescent="0.35">
      <c r="B103" s="36"/>
      <c r="C103" s="12"/>
      <c r="D103" s="38"/>
      <c r="E103" s="38"/>
      <c r="F103" s="12"/>
      <c r="G103" s="38"/>
      <c r="H103" s="38"/>
      <c r="I103" s="12"/>
      <c r="J103" s="38"/>
      <c r="K103" s="38"/>
      <c r="L103" s="38"/>
      <c r="M103" s="38"/>
      <c r="N103" s="38"/>
      <c r="O103" s="38"/>
    </row>
    <row r="104" spans="2:21" x14ac:dyDescent="0.35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2:21" x14ac:dyDescent="0.35"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2:21" x14ac:dyDescent="0.35">
      <c r="B106" s="36"/>
      <c r="C106" s="12"/>
      <c r="D106" s="38"/>
      <c r="E106" s="38"/>
      <c r="F106" s="12"/>
      <c r="G106" s="41"/>
      <c r="H106" s="38"/>
      <c r="I106" s="12"/>
      <c r="J106" s="38"/>
      <c r="K106" s="38"/>
      <c r="L106" s="38"/>
      <c r="M106" s="38"/>
      <c r="N106" s="41"/>
      <c r="O106" s="41"/>
      <c r="Q106" s="38"/>
    </row>
    <row r="107" spans="2:21" x14ac:dyDescent="0.35">
      <c r="B107" s="36"/>
      <c r="C107" s="12"/>
      <c r="D107" s="38"/>
      <c r="E107" s="38"/>
      <c r="F107" s="12"/>
      <c r="G107" s="38"/>
      <c r="H107" s="38"/>
      <c r="I107" s="12"/>
      <c r="J107" s="38"/>
      <c r="K107" s="38"/>
      <c r="L107" s="38"/>
      <c r="M107" s="38"/>
      <c r="N107" s="38"/>
      <c r="O107" s="38"/>
    </row>
    <row r="108" spans="2:21" x14ac:dyDescent="0.35">
      <c r="B108" s="36"/>
      <c r="C108" s="12"/>
      <c r="D108" s="38"/>
      <c r="E108" s="38"/>
      <c r="F108" s="12"/>
      <c r="G108" s="38"/>
      <c r="H108" s="38"/>
      <c r="I108" s="12"/>
      <c r="J108" s="38"/>
      <c r="K108" s="38"/>
      <c r="L108" s="38"/>
      <c r="M108" s="38"/>
      <c r="N108" s="38"/>
      <c r="O108" s="38"/>
    </row>
    <row r="109" spans="2:21" x14ac:dyDescent="0.35">
      <c r="B109" s="36"/>
      <c r="C109" s="12"/>
      <c r="D109" s="38"/>
      <c r="E109" s="38"/>
      <c r="F109" s="12"/>
      <c r="G109" s="38"/>
      <c r="H109" s="38"/>
      <c r="I109" s="12"/>
      <c r="J109" s="38"/>
      <c r="K109" s="38"/>
      <c r="L109" s="41"/>
      <c r="M109" s="41"/>
      <c r="N109" s="38"/>
      <c r="O109" s="38"/>
    </row>
    <row r="110" spans="2:21" x14ac:dyDescent="0.35">
      <c r="B110" s="39"/>
      <c r="C110" s="12"/>
      <c r="D110" s="38"/>
      <c r="E110" s="38"/>
      <c r="F110" s="12"/>
      <c r="G110" s="38"/>
      <c r="H110" s="38"/>
      <c r="I110" s="12"/>
      <c r="J110" s="38"/>
      <c r="K110" s="38"/>
      <c r="L110" s="38"/>
      <c r="M110" s="38"/>
      <c r="N110" s="38"/>
      <c r="O110" s="38"/>
    </row>
    <row r="111" spans="2:21" x14ac:dyDescent="0.35">
      <c r="B111" s="36"/>
      <c r="C111" s="12"/>
      <c r="D111" s="38"/>
      <c r="E111" s="38"/>
      <c r="F111" s="12"/>
      <c r="G111" s="38"/>
      <c r="H111" s="38"/>
      <c r="I111" s="12"/>
      <c r="J111" s="38"/>
      <c r="K111" s="38"/>
      <c r="L111" s="38"/>
      <c r="M111" s="38"/>
      <c r="N111" s="38"/>
      <c r="O111" s="38"/>
    </row>
    <row r="112" spans="2:21" x14ac:dyDescent="0.35">
      <c r="B112" s="36"/>
      <c r="C112" s="12"/>
      <c r="D112" s="38"/>
      <c r="E112" s="38"/>
      <c r="F112" s="12"/>
      <c r="G112" s="38"/>
      <c r="H112" s="38"/>
      <c r="I112" s="12"/>
      <c r="J112" s="38"/>
      <c r="K112" s="38"/>
      <c r="L112" s="38"/>
      <c r="M112" s="38"/>
      <c r="N112" s="38"/>
      <c r="O112" s="38"/>
    </row>
    <row r="113" spans="3:15" x14ac:dyDescent="0.35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3:15" x14ac:dyDescent="0.35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</sheetData>
  <mergeCells count="10">
    <mergeCell ref="B87:U87"/>
    <mergeCell ref="B88:U88"/>
    <mergeCell ref="B89:U89"/>
    <mergeCell ref="U3:U4"/>
    <mergeCell ref="C3:E3"/>
    <mergeCell ref="F3:H3"/>
    <mergeCell ref="I3:K3"/>
    <mergeCell ref="P3:Q3"/>
    <mergeCell ref="R3:S3"/>
    <mergeCell ref="T3:T4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E5AC-6617-43EA-B2A3-095F8074F27C}">
  <dimension ref="A1:T199"/>
  <sheetViews>
    <sheetView zoomScale="80" zoomScaleNormal="80" workbookViewId="0">
      <selection activeCell="A4" sqref="A4"/>
    </sheetView>
  </sheetViews>
  <sheetFormatPr defaultColWidth="9" defaultRowHeight="15.5" x14ac:dyDescent="0.35"/>
  <cols>
    <col min="1" max="1" width="21.75" style="115" customWidth="1"/>
    <col min="2" max="2" width="9" style="115"/>
    <col min="3" max="3" width="10" style="115" bestFit="1" customWidth="1"/>
    <col min="4" max="4" width="6.58203125" style="115" bestFit="1" customWidth="1"/>
    <col min="5" max="5" width="2.83203125" style="115" bestFit="1" customWidth="1"/>
    <col min="6" max="6" width="10" style="115" bestFit="1" customWidth="1"/>
    <col min="7" max="7" width="6.08203125" style="115" bestFit="1" customWidth="1"/>
    <col min="8" max="8" width="2.83203125" style="115" bestFit="1" customWidth="1"/>
    <col min="9" max="9" width="10" style="115" bestFit="1" customWidth="1"/>
    <col min="10" max="10" width="5.58203125" style="115" bestFit="1" customWidth="1"/>
    <col min="11" max="11" width="10.58203125" style="115" bestFit="1" customWidth="1"/>
    <col min="12" max="12" width="5.58203125" style="115" bestFit="1" customWidth="1"/>
    <col min="13" max="13" width="11.33203125" style="115" bestFit="1" customWidth="1"/>
    <col min="14" max="14" width="5.58203125" style="115" bestFit="1" customWidth="1"/>
    <col min="15" max="15" width="11" style="115" bestFit="1" customWidth="1"/>
    <col min="16" max="16" width="9.5" style="115" bestFit="1" customWidth="1"/>
    <col min="17" max="16384" width="9" style="115"/>
  </cols>
  <sheetData>
    <row r="1" spans="1:17" x14ac:dyDescent="0.35">
      <c r="A1" s="109" t="s">
        <v>1514</v>
      </c>
      <c r="B1" s="109"/>
      <c r="C1" s="109"/>
      <c r="D1" s="109"/>
      <c r="E1" s="109"/>
      <c r="F1" s="109"/>
      <c r="G1" s="109"/>
      <c r="H1" s="109"/>
      <c r="I1" s="109"/>
      <c r="J1" s="109"/>
      <c r="L1" s="109"/>
      <c r="M1" s="109"/>
      <c r="N1" s="109"/>
      <c r="O1" s="109"/>
      <c r="P1" s="109"/>
      <c r="Q1" s="101"/>
    </row>
    <row r="2" spans="1:17" ht="18.5" x14ac:dyDescent="0.35">
      <c r="A2" s="130"/>
      <c r="B2" s="148" t="s">
        <v>884</v>
      </c>
      <c r="C2" s="148"/>
      <c r="D2" s="148"/>
      <c r="E2" s="148" t="s">
        <v>885</v>
      </c>
      <c r="F2" s="148"/>
      <c r="G2" s="148"/>
      <c r="H2" s="148" t="s">
        <v>882</v>
      </c>
      <c r="I2" s="148"/>
      <c r="J2" s="148"/>
      <c r="K2" s="148" t="s">
        <v>993</v>
      </c>
      <c r="L2" s="148"/>
      <c r="M2" s="148" t="s">
        <v>994</v>
      </c>
      <c r="N2" s="148"/>
      <c r="O2" s="143" t="s">
        <v>977</v>
      </c>
      <c r="P2" s="143" t="s">
        <v>978</v>
      </c>
      <c r="Q2" s="101"/>
    </row>
    <row r="3" spans="1:17" x14ac:dyDescent="0.35">
      <c r="A3" s="116" t="s">
        <v>35</v>
      </c>
      <c r="B3" s="117" t="s">
        <v>1</v>
      </c>
      <c r="C3" s="117" t="s">
        <v>280</v>
      </c>
      <c r="D3" s="118" t="s">
        <v>2</v>
      </c>
      <c r="E3" s="117" t="s">
        <v>1</v>
      </c>
      <c r="F3" s="117" t="s">
        <v>280</v>
      </c>
      <c r="G3" s="118" t="s">
        <v>2</v>
      </c>
      <c r="H3" s="117" t="s">
        <v>1</v>
      </c>
      <c r="I3" s="117" t="s">
        <v>280</v>
      </c>
      <c r="J3" s="118" t="s">
        <v>2</v>
      </c>
      <c r="K3" s="117" t="s">
        <v>623</v>
      </c>
      <c r="L3" s="118" t="s">
        <v>2</v>
      </c>
      <c r="M3" s="117" t="s">
        <v>280</v>
      </c>
      <c r="N3" s="118" t="s">
        <v>2</v>
      </c>
      <c r="O3" s="144"/>
      <c r="P3" s="144"/>
      <c r="Q3" s="101"/>
    </row>
    <row r="4" spans="1:17" ht="18.5" x14ac:dyDescent="0.35">
      <c r="A4" s="91" t="s">
        <v>1522</v>
      </c>
      <c r="B4" s="92"/>
      <c r="C4" s="92"/>
      <c r="D4" s="93"/>
      <c r="E4" s="92"/>
      <c r="F4" s="92"/>
      <c r="G4" s="93"/>
      <c r="H4" s="92"/>
      <c r="I4" s="92"/>
      <c r="J4" s="93"/>
      <c r="K4" s="92"/>
      <c r="L4" s="93"/>
      <c r="M4" s="92"/>
      <c r="N4" s="93"/>
      <c r="O4" s="113"/>
      <c r="P4" s="113"/>
      <c r="Q4" s="101"/>
    </row>
    <row r="5" spans="1:17" ht="18.5" x14ac:dyDescent="0.35">
      <c r="A5" s="94" t="s">
        <v>1511</v>
      </c>
      <c r="B5" s="96"/>
      <c r="C5" s="101"/>
      <c r="D5" s="101"/>
      <c r="E5" s="96"/>
      <c r="F5" s="101"/>
      <c r="G5" s="96"/>
      <c r="H5" s="96"/>
      <c r="I5" s="101"/>
      <c r="J5" s="101"/>
      <c r="K5" s="101"/>
      <c r="L5" s="101"/>
      <c r="M5" s="101"/>
      <c r="N5" s="101"/>
      <c r="O5" s="101"/>
      <c r="P5" s="101"/>
      <c r="Q5" s="101"/>
    </row>
    <row r="6" spans="1:17" x14ac:dyDescent="0.35">
      <c r="A6" s="103" t="s">
        <v>1507</v>
      </c>
      <c r="B6" s="96"/>
      <c r="C6" s="101"/>
      <c r="D6" s="101"/>
      <c r="E6" s="96"/>
      <c r="F6" s="101"/>
      <c r="G6" s="96"/>
      <c r="H6" s="96"/>
      <c r="I6" s="101"/>
      <c r="J6" s="101"/>
      <c r="K6" s="101"/>
      <c r="L6" s="101"/>
      <c r="M6" s="101"/>
      <c r="N6" s="104"/>
      <c r="O6" s="101"/>
      <c r="P6" s="101"/>
      <c r="Q6" s="101"/>
    </row>
    <row r="7" spans="1:17" x14ac:dyDescent="0.35">
      <c r="A7" s="119" t="s">
        <v>5</v>
      </c>
      <c r="B7" s="96">
        <v>29</v>
      </c>
      <c r="C7" s="96" t="s">
        <v>995</v>
      </c>
      <c r="D7" s="97">
        <v>0.121</v>
      </c>
      <c r="E7" s="96">
        <v>29</v>
      </c>
      <c r="F7" s="96" t="s">
        <v>996</v>
      </c>
      <c r="G7" s="97">
        <v>0.14099999999999999</v>
      </c>
      <c r="H7" s="96">
        <v>28</v>
      </c>
      <c r="I7" s="96" t="s">
        <v>997</v>
      </c>
      <c r="J7" s="97">
        <v>2.8000000000000001E-2</v>
      </c>
      <c r="K7" s="96" t="s">
        <v>998</v>
      </c>
      <c r="L7" s="97">
        <v>0.95499999999999996</v>
      </c>
      <c r="M7" s="98" t="s">
        <v>999</v>
      </c>
      <c r="N7" s="97">
        <v>0.63700000000000001</v>
      </c>
      <c r="O7" s="99">
        <f>(5.79/5.91)/(6.42/6.57)</f>
        <v>1.0025855116466627</v>
      </c>
      <c r="P7" s="99">
        <f>(4.75/5.91)/(5.7/6.57)</f>
        <v>0.92639593908629436</v>
      </c>
      <c r="Q7" s="101"/>
    </row>
    <row r="8" spans="1:17" x14ac:dyDescent="0.35">
      <c r="A8" s="119" t="s">
        <v>976</v>
      </c>
      <c r="B8" s="96">
        <v>31</v>
      </c>
      <c r="C8" s="96" t="s">
        <v>1000</v>
      </c>
      <c r="D8" s="100"/>
      <c r="E8" s="96">
        <v>31</v>
      </c>
      <c r="F8" s="96" t="s">
        <v>1001</v>
      </c>
      <c r="G8" s="100"/>
      <c r="H8" s="96">
        <v>31</v>
      </c>
      <c r="I8" s="99" t="s">
        <v>1002</v>
      </c>
      <c r="J8" s="104"/>
      <c r="K8" s="101"/>
      <c r="L8" s="102"/>
      <c r="M8" s="101"/>
      <c r="N8" s="102"/>
      <c r="O8" s="101"/>
      <c r="P8" s="101"/>
      <c r="Q8" s="101"/>
    </row>
    <row r="9" spans="1:17" x14ac:dyDescent="0.35">
      <c r="A9" s="119" t="s">
        <v>4</v>
      </c>
      <c r="B9" s="96">
        <v>40</v>
      </c>
      <c r="C9" s="96" t="s">
        <v>1003</v>
      </c>
      <c r="D9" s="97">
        <v>0.28699999999999998</v>
      </c>
      <c r="E9" s="96">
        <v>40</v>
      </c>
      <c r="F9" s="96" t="s">
        <v>1004</v>
      </c>
      <c r="G9" s="97">
        <v>0.80300000000000005</v>
      </c>
      <c r="H9" s="96">
        <v>39</v>
      </c>
      <c r="I9" s="99" t="s">
        <v>1005</v>
      </c>
      <c r="J9" s="97">
        <v>0.34100000000000003</v>
      </c>
      <c r="K9" s="99" t="s">
        <v>1006</v>
      </c>
      <c r="L9" s="97">
        <v>0.56200000000000006</v>
      </c>
      <c r="M9" s="99" t="s">
        <v>1007</v>
      </c>
      <c r="N9" s="97">
        <v>0.93700000000000006</v>
      </c>
      <c r="O9" s="99">
        <f>(5.73/5.69)/(5.82/6.08)</f>
        <v>1.0520174659830051</v>
      </c>
      <c r="P9" s="99">
        <f>(4.97/5.69)/(5.32/6.08)</f>
        <v>0.99824253075571168</v>
      </c>
      <c r="Q9" s="101"/>
    </row>
    <row r="10" spans="1:17" x14ac:dyDescent="0.35">
      <c r="A10" s="119" t="s">
        <v>1008</v>
      </c>
      <c r="B10" s="96">
        <v>40</v>
      </c>
      <c r="C10" s="96" t="s">
        <v>1009</v>
      </c>
      <c r="D10" s="100"/>
      <c r="E10" s="96">
        <v>41</v>
      </c>
      <c r="F10" s="99" t="s">
        <v>1010</v>
      </c>
      <c r="G10" s="100"/>
      <c r="H10" s="96">
        <v>41</v>
      </c>
      <c r="I10" s="96" t="s">
        <v>1011</v>
      </c>
      <c r="J10" s="104"/>
      <c r="K10" s="101"/>
      <c r="L10" s="102"/>
      <c r="M10" s="101"/>
      <c r="N10" s="102"/>
      <c r="O10" s="101"/>
      <c r="P10" s="101"/>
      <c r="Q10" s="101"/>
    </row>
    <row r="11" spans="1:17" x14ac:dyDescent="0.35">
      <c r="A11" s="119" t="s">
        <v>1012</v>
      </c>
      <c r="B11" s="96">
        <v>26</v>
      </c>
      <c r="C11" s="96" t="s">
        <v>1013</v>
      </c>
      <c r="D11" s="97">
        <v>0.73799999999999999</v>
      </c>
      <c r="E11" s="96">
        <v>28</v>
      </c>
      <c r="F11" s="96" t="s">
        <v>1014</v>
      </c>
      <c r="G11" s="97">
        <v>0.97299999999999998</v>
      </c>
      <c r="H11" s="96">
        <v>29</v>
      </c>
      <c r="I11" s="96" t="s">
        <v>1015</v>
      </c>
      <c r="J11" s="97">
        <v>0.61899999999999999</v>
      </c>
      <c r="K11" s="96" t="s">
        <v>1016</v>
      </c>
      <c r="L11" s="97">
        <v>0.83</v>
      </c>
      <c r="M11" s="98" t="s">
        <v>1017</v>
      </c>
      <c r="N11" s="97">
        <v>0.90900000000000003</v>
      </c>
      <c r="O11" s="99">
        <f>(5.37/5.38)/(5.38/5.52)</f>
        <v>1.0241152001768907</v>
      </c>
      <c r="P11" s="99">
        <f>(4.69/5.38)/(4.91/5.52)</f>
        <v>0.98004981866912988</v>
      </c>
      <c r="Q11" s="101"/>
    </row>
    <row r="12" spans="1:17" x14ac:dyDescent="0.35">
      <c r="A12" s="119" t="s">
        <v>974</v>
      </c>
      <c r="B12" s="96">
        <v>23</v>
      </c>
      <c r="C12" s="96" t="s">
        <v>1018</v>
      </c>
      <c r="D12" s="104"/>
      <c r="E12" s="96">
        <v>30</v>
      </c>
      <c r="F12" s="96" t="s">
        <v>1019</v>
      </c>
      <c r="G12" s="100"/>
      <c r="H12" s="96">
        <v>31</v>
      </c>
      <c r="I12" s="96" t="s">
        <v>1020</v>
      </c>
      <c r="J12" s="104"/>
      <c r="K12" s="101"/>
      <c r="L12" s="102"/>
      <c r="M12" s="101"/>
      <c r="N12" s="102"/>
      <c r="O12" s="101"/>
      <c r="P12" s="101"/>
      <c r="Q12" s="101"/>
    </row>
    <row r="13" spans="1:17" x14ac:dyDescent="0.35">
      <c r="A13" s="103" t="s">
        <v>1506</v>
      </c>
      <c r="B13" s="96"/>
      <c r="C13" s="101"/>
      <c r="D13" s="104"/>
      <c r="E13" s="96"/>
      <c r="F13" s="101"/>
      <c r="G13" s="100"/>
      <c r="H13" s="96"/>
      <c r="I13" s="101"/>
      <c r="J13" s="104"/>
      <c r="K13" s="101"/>
      <c r="L13" s="102"/>
      <c r="M13" s="101"/>
      <c r="N13" s="102"/>
      <c r="O13" s="101"/>
      <c r="P13" s="101"/>
      <c r="Q13" s="101"/>
    </row>
    <row r="14" spans="1:17" x14ac:dyDescent="0.35">
      <c r="A14" s="119" t="s">
        <v>5</v>
      </c>
      <c r="B14" s="96">
        <v>40</v>
      </c>
      <c r="C14" s="96" t="s">
        <v>1021</v>
      </c>
      <c r="D14" s="97">
        <v>0.88100000000000001</v>
      </c>
      <c r="E14" s="96">
        <v>40</v>
      </c>
      <c r="F14" s="96" t="s">
        <v>1022</v>
      </c>
      <c r="G14" s="97">
        <v>0.35499999999999998</v>
      </c>
      <c r="H14" s="96">
        <v>40</v>
      </c>
      <c r="I14" s="99" t="s">
        <v>1023</v>
      </c>
      <c r="J14" s="97">
        <v>0.91800000000000004</v>
      </c>
      <c r="K14" s="98" t="s">
        <v>1024</v>
      </c>
      <c r="L14" s="97">
        <v>0.58299999999999996</v>
      </c>
      <c r="M14" s="99" t="s">
        <v>1025</v>
      </c>
      <c r="N14" s="97">
        <v>0.85799999999999998</v>
      </c>
      <c r="O14" s="99">
        <f>(6.05/6.24)/(6.4/6.29)</f>
        <v>0.95288711939102544</v>
      </c>
      <c r="P14" s="99">
        <f>(5.5/6.24)/(5.46/6.29)</f>
        <v>1.0153975298206068</v>
      </c>
      <c r="Q14" s="101"/>
    </row>
    <row r="15" spans="1:17" x14ac:dyDescent="0.35">
      <c r="A15" s="119" t="s">
        <v>976</v>
      </c>
      <c r="B15" s="96">
        <v>35</v>
      </c>
      <c r="C15" s="96" t="s">
        <v>1026</v>
      </c>
      <c r="D15" s="100"/>
      <c r="E15" s="96">
        <v>35</v>
      </c>
      <c r="F15" s="99" t="s">
        <v>1027</v>
      </c>
      <c r="G15" s="100"/>
      <c r="H15" s="96">
        <v>32</v>
      </c>
      <c r="I15" s="96" t="s">
        <v>1028</v>
      </c>
      <c r="J15" s="104"/>
      <c r="K15" s="101"/>
      <c r="L15" s="102"/>
      <c r="M15" s="101"/>
      <c r="N15" s="102"/>
      <c r="O15" s="101"/>
      <c r="P15" s="101"/>
      <c r="Q15" s="101"/>
    </row>
    <row r="16" spans="1:17" x14ac:dyDescent="0.35">
      <c r="A16" s="119" t="s">
        <v>4</v>
      </c>
      <c r="B16" s="96">
        <v>48</v>
      </c>
      <c r="C16" s="96" t="s">
        <v>1029</v>
      </c>
      <c r="D16" s="97">
        <v>0.23699999999999999</v>
      </c>
      <c r="E16" s="96">
        <v>47</v>
      </c>
      <c r="F16" s="96" t="s">
        <v>1030</v>
      </c>
      <c r="G16" s="97">
        <v>0.51</v>
      </c>
      <c r="H16" s="96">
        <v>46</v>
      </c>
      <c r="I16" s="96" t="s">
        <v>1031</v>
      </c>
      <c r="J16" s="97">
        <v>0.65400000000000003</v>
      </c>
      <c r="K16" s="99" t="s">
        <v>1032</v>
      </c>
      <c r="L16" s="97">
        <v>0.71499999999999997</v>
      </c>
      <c r="M16" s="96" t="s">
        <v>1033</v>
      </c>
      <c r="N16" s="97">
        <v>0.60899999999999999</v>
      </c>
      <c r="O16" s="99">
        <f>(5.87/5.77)/(6.09/6.17)</f>
        <v>1.0306949768492828</v>
      </c>
      <c r="P16" s="99">
        <f>(5.27/5.77)/(5.42/6.17)</f>
        <v>1.0397302499888084</v>
      </c>
      <c r="Q16" s="101"/>
    </row>
    <row r="17" spans="1:20" x14ac:dyDescent="0.35">
      <c r="A17" s="119" t="s">
        <v>1008</v>
      </c>
      <c r="B17" s="96">
        <v>47</v>
      </c>
      <c r="C17" s="96" t="s">
        <v>1034</v>
      </c>
      <c r="D17" s="104"/>
      <c r="E17" s="96">
        <v>46</v>
      </c>
      <c r="F17" s="96" t="s">
        <v>1035</v>
      </c>
      <c r="G17" s="100"/>
      <c r="H17" s="96">
        <v>46</v>
      </c>
      <c r="I17" s="96" t="s">
        <v>1036</v>
      </c>
      <c r="J17" s="104"/>
      <c r="K17" s="101"/>
      <c r="L17" s="102"/>
      <c r="M17" s="101"/>
      <c r="N17" s="102"/>
      <c r="O17" s="101"/>
      <c r="P17" s="101"/>
      <c r="Q17" s="101"/>
    </row>
    <row r="18" spans="1:20" x14ac:dyDescent="0.35">
      <c r="A18" s="119" t="s">
        <v>1012</v>
      </c>
      <c r="B18" s="96">
        <v>29</v>
      </c>
      <c r="C18" s="96" t="s">
        <v>1037</v>
      </c>
      <c r="D18" s="97">
        <v>0.53800000000000003</v>
      </c>
      <c r="E18" s="96">
        <v>28</v>
      </c>
      <c r="F18" s="96" t="s">
        <v>1038</v>
      </c>
      <c r="G18" s="97">
        <v>0.77900000000000003</v>
      </c>
      <c r="H18" s="96">
        <v>29</v>
      </c>
      <c r="I18" s="96" t="s">
        <v>1039</v>
      </c>
      <c r="J18" s="97">
        <v>0.80700000000000005</v>
      </c>
      <c r="K18" s="96" t="s">
        <v>1040</v>
      </c>
      <c r="L18" s="97">
        <v>0.81699999999999995</v>
      </c>
      <c r="M18" s="96" t="s">
        <v>1041</v>
      </c>
      <c r="N18" s="97">
        <v>0.79300000000000004</v>
      </c>
      <c r="O18" s="99">
        <f>(5.67/5.65)/(5.78/5.9)</f>
        <v>1.0243745598187217</v>
      </c>
      <c r="P18" s="99">
        <f>(5.23/5.65)/(5.33/5.9)</f>
        <v>1.0246558966610768</v>
      </c>
      <c r="Q18" s="101"/>
    </row>
    <row r="19" spans="1:20" x14ac:dyDescent="0.35">
      <c r="A19" s="119" t="s">
        <v>974</v>
      </c>
      <c r="B19" s="96">
        <v>31</v>
      </c>
      <c r="C19" s="99" t="s">
        <v>1042</v>
      </c>
      <c r="D19" s="104"/>
      <c r="E19" s="96">
        <v>30</v>
      </c>
      <c r="F19" s="96" t="s">
        <v>1043</v>
      </c>
      <c r="G19" s="100"/>
      <c r="H19" s="96">
        <v>31</v>
      </c>
      <c r="I19" s="96" t="s">
        <v>1044</v>
      </c>
      <c r="J19" s="104"/>
      <c r="K19" s="101"/>
      <c r="L19" s="104"/>
      <c r="M19" s="101"/>
      <c r="N19" s="104"/>
      <c r="O19" s="101"/>
      <c r="P19" s="101"/>
      <c r="Q19" s="101"/>
    </row>
    <row r="20" spans="1:20" x14ac:dyDescent="0.35">
      <c r="A20" s="90" t="s">
        <v>1512</v>
      </c>
      <c r="B20" s="96"/>
      <c r="C20" s="101"/>
      <c r="D20" s="104"/>
      <c r="E20" s="96"/>
      <c r="F20" s="101"/>
      <c r="G20" s="100"/>
      <c r="H20" s="96"/>
      <c r="I20" s="101"/>
      <c r="J20" s="104"/>
      <c r="K20" s="101"/>
      <c r="L20" s="104"/>
      <c r="M20" s="101"/>
      <c r="N20" s="104"/>
      <c r="O20" s="101"/>
      <c r="P20" s="101"/>
      <c r="Q20" s="101"/>
    </row>
    <row r="21" spans="1:20" x14ac:dyDescent="0.35">
      <c r="A21" s="103" t="s">
        <v>1505</v>
      </c>
      <c r="B21" s="96"/>
      <c r="C21" s="101"/>
      <c r="D21" s="104"/>
      <c r="E21" s="96"/>
      <c r="F21" s="101"/>
      <c r="G21" s="100"/>
      <c r="H21" s="96"/>
      <c r="I21" s="101"/>
      <c r="J21" s="104"/>
      <c r="K21" s="101"/>
      <c r="L21" s="104"/>
      <c r="M21" s="101"/>
      <c r="N21" s="104"/>
      <c r="O21" s="101"/>
      <c r="P21" s="101"/>
      <c r="Q21" s="101"/>
    </row>
    <row r="22" spans="1:20" x14ac:dyDescent="0.35">
      <c r="A22" s="119" t="s">
        <v>5</v>
      </c>
      <c r="B22" s="96">
        <v>39</v>
      </c>
      <c r="C22" s="96" t="s">
        <v>1045</v>
      </c>
      <c r="D22" s="97">
        <v>0.184</v>
      </c>
      <c r="E22" s="96">
        <v>39</v>
      </c>
      <c r="F22" s="96" t="s">
        <v>1046</v>
      </c>
      <c r="G22" s="97">
        <v>0.27600000000000002</v>
      </c>
      <c r="H22" s="96">
        <v>28</v>
      </c>
      <c r="I22" s="96" t="s">
        <v>1047</v>
      </c>
      <c r="J22" s="97">
        <v>0.54100000000000004</v>
      </c>
      <c r="K22" s="96" t="s">
        <v>1048</v>
      </c>
      <c r="L22" s="97">
        <v>0.86499999999999999</v>
      </c>
      <c r="M22" s="96" t="s">
        <v>1049</v>
      </c>
      <c r="N22" s="97">
        <v>0.623</v>
      </c>
      <c r="O22" s="99">
        <f>(5.92/6.03)/(6.33/6.53)</f>
        <v>1.0127770835134491</v>
      </c>
      <c r="P22" s="99">
        <f>(5.27/6.03)/(5.51/6.53)</f>
        <v>1.0357498653134811</v>
      </c>
      <c r="Q22" s="101"/>
    </row>
    <row r="23" spans="1:20" x14ac:dyDescent="0.35">
      <c r="A23" s="119" t="s">
        <v>976</v>
      </c>
      <c r="B23" s="96">
        <v>41</v>
      </c>
      <c r="C23" s="96" t="s">
        <v>1050</v>
      </c>
      <c r="D23" s="100"/>
      <c r="E23" s="96">
        <v>41</v>
      </c>
      <c r="F23" s="96" t="s">
        <v>1051</v>
      </c>
      <c r="G23" s="100"/>
      <c r="H23" s="96">
        <v>31</v>
      </c>
      <c r="I23" s="96" t="s">
        <v>1052</v>
      </c>
      <c r="J23" s="104"/>
      <c r="K23" s="101"/>
      <c r="L23" s="102"/>
      <c r="M23" s="101"/>
      <c r="N23" s="104"/>
      <c r="O23" s="101"/>
      <c r="P23" s="101"/>
      <c r="Q23" s="101"/>
    </row>
    <row r="24" spans="1:20" x14ac:dyDescent="0.35">
      <c r="A24" s="119" t="s">
        <v>4</v>
      </c>
      <c r="B24" s="96">
        <v>62</v>
      </c>
      <c r="C24" s="96" t="s">
        <v>1053</v>
      </c>
      <c r="D24" s="97">
        <v>0.35799999999999998</v>
      </c>
      <c r="E24" s="96">
        <v>61</v>
      </c>
      <c r="F24" s="99" t="s">
        <v>1054</v>
      </c>
      <c r="G24" s="97">
        <v>0.94</v>
      </c>
      <c r="H24" s="96">
        <v>39</v>
      </c>
      <c r="I24" s="96" t="s">
        <v>1055</v>
      </c>
      <c r="J24" s="97">
        <v>0.89300000000000002</v>
      </c>
      <c r="K24" s="96" t="s">
        <v>1056</v>
      </c>
      <c r="L24" s="97">
        <v>0.48199999999999998</v>
      </c>
      <c r="M24" s="99" t="s">
        <v>1057</v>
      </c>
      <c r="N24" s="97">
        <v>0.45800000000000002</v>
      </c>
      <c r="O24" s="99">
        <f>(5.8/5.75)/(5.8/6.05)</f>
        <v>1.0521739130434782</v>
      </c>
      <c r="P24" s="99">
        <f>(5.22/5.75)/(5.18/6.05)</f>
        <v>1.060298808124895</v>
      </c>
      <c r="Q24" s="101"/>
    </row>
    <row r="25" spans="1:20" x14ac:dyDescent="0.35">
      <c r="A25" s="119" t="s">
        <v>1008</v>
      </c>
      <c r="B25" s="96">
        <v>48</v>
      </c>
      <c r="C25" s="96" t="s">
        <v>1058</v>
      </c>
      <c r="D25" s="100"/>
      <c r="E25" s="96">
        <v>48</v>
      </c>
      <c r="F25" s="99" t="s">
        <v>1059</v>
      </c>
      <c r="G25" s="100"/>
      <c r="H25" s="96">
        <v>41</v>
      </c>
      <c r="I25" s="96" t="s">
        <v>1060</v>
      </c>
      <c r="J25" s="100"/>
      <c r="K25" s="101"/>
      <c r="L25" s="102"/>
      <c r="M25" s="101"/>
      <c r="N25" s="104"/>
      <c r="O25" s="101"/>
      <c r="P25" s="101"/>
      <c r="Q25" s="101"/>
    </row>
    <row r="26" spans="1:20" x14ac:dyDescent="0.35">
      <c r="A26" s="119" t="s">
        <v>1012</v>
      </c>
      <c r="B26" s="96">
        <v>39</v>
      </c>
      <c r="C26" s="96" t="s">
        <v>1061</v>
      </c>
      <c r="D26" s="97">
        <v>0.89500000000000002</v>
      </c>
      <c r="E26" s="96">
        <v>38</v>
      </c>
      <c r="F26" s="96" t="s">
        <v>1062</v>
      </c>
      <c r="G26" s="97">
        <v>0.79</v>
      </c>
      <c r="H26" s="96">
        <v>25</v>
      </c>
      <c r="I26" s="96" t="s">
        <v>1063</v>
      </c>
      <c r="J26" s="97">
        <v>0.82399999999999995</v>
      </c>
      <c r="K26" s="96" t="s">
        <v>1064</v>
      </c>
      <c r="L26" s="97">
        <v>0.77900000000000003</v>
      </c>
      <c r="M26" s="96" t="s">
        <v>1065</v>
      </c>
      <c r="N26" s="97">
        <v>0.80300000000000005</v>
      </c>
      <c r="O26" s="99">
        <f>(5.51/5.57)/(5.41/5.52)</f>
        <v>1.0093417004881575</v>
      </c>
      <c r="P26" s="99">
        <f>(5.07/5.47)/(4.98/5.52)</f>
        <v>1.0273782515803616</v>
      </c>
      <c r="Q26" s="101"/>
    </row>
    <row r="27" spans="1:20" x14ac:dyDescent="0.35">
      <c r="A27" s="119" t="s">
        <v>974</v>
      </c>
      <c r="B27" s="96">
        <v>30</v>
      </c>
      <c r="C27" s="96" t="s">
        <v>1066</v>
      </c>
      <c r="D27" s="100"/>
      <c r="E27" s="96">
        <v>30</v>
      </c>
      <c r="F27" s="96" t="s">
        <v>1067</v>
      </c>
      <c r="G27" s="100"/>
      <c r="H27" s="96">
        <v>24</v>
      </c>
      <c r="I27" s="96" t="s">
        <v>1068</v>
      </c>
      <c r="J27" s="100"/>
      <c r="K27" s="101"/>
      <c r="L27" s="102"/>
      <c r="M27" s="101"/>
      <c r="N27" s="102"/>
      <c r="O27" s="101"/>
      <c r="P27" s="101"/>
      <c r="Q27" s="101"/>
    </row>
    <row r="28" spans="1:20" x14ac:dyDescent="0.35">
      <c r="A28" s="103" t="s">
        <v>1504</v>
      </c>
      <c r="B28" s="96"/>
      <c r="C28" s="101"/>
      <c r="D28" s="104"/>
      <c r="E28" s="96"/>
      <c r="F28" s="101"/>
      <c r="G28" s="100"/>
      <c r="H28" s="96"/>
      <c r="I28" s="101"/>
      <c r="J28" s="104"/>
      <c r="K28" s="101"/>
      <c r="L28" s="102"/>
      <c r="M28" s="101"/>
      <c r="N28" s="102"/>
      <c r="O28" s="101"/>
      <c r="P28" s="101"/>
      <c r="Q28" s="101"/>
    </row>
    <row r="29" spans="1:20" x14ac:dyDescent="0.35">
      <c r="A29" s="119" t="s">
        <v>5</v>
      </c>
      <c r="B29" s="96">
        <v>30</v>
      </c>
      <c r="C29" s="96" t="s">
        <v>1069</v>
      </c>
      <c r="D29" s="97">
        <v>0.876</v>
      </c>
      <c r="E29" s="96">
        <v>30</v>
      </c>
      <c r="F29" s="96" t="s">
        <v>1070</v>
      </c>
      <c r="G29" s="97">
        <v>0.19</v>
      </c>
      <c r="H29" s="96">
        <v>40</v>
      </c>
      <c r="I29" s="96" t="s">
        <v>1071</v>
      </c>
      <c r="J29" s="97">
        <v>0.17199999999999999</v>
      </c>
      <c r="K29" s="98" t="s">
        <v>1072</v>
      </c>
      <c r="L29" s="97">
        <v>0.41299999999999998</v>
      </c>
      <c r="M29" s="98" t="s">
        <v>1073</v>
      </c>
      <c r="N29" s="97">
        <v>0.39100000000000001</v>
      </c>
      <c r="O29" s="99">
        <f>(5.96/6.18)/(6.54/6.25)</f>
        <v>0.92163732272398891</v>
      </c>
      <c r="P29" s="99">
        <f>(5.09/6.18)/(5.69/6.25)</f>
        <v>0.9046843096103423</v>
      </c>
      <c r="Q29" s="101"/>
    </row>
    <row r="30" spans="1:20" x14ac:dyDescent="0.35">
      <c r="A30" s="119" t="s">
        <v>976</v>
      </c>
      <c r="B30" s="96">
        <v>25</v>
      </c>
      <c r="C30" s="96" t="s">
        <v>1074</v>
      </c>
      <c r="D30" s="100"/>
      <c r="E30" s="96">
        <v>25</v>
      </c>
      <c r="F30" s="96" t="s">
        <v>1075</v>
      </c>
      <c r="G30" s="100"/>
      <c r="H30" s="96">
        <v>32</v>
      </c>
      <c r="I30" s="96" t="s">
        <v>1076</v>
      </c>
      <c r="J30" s="104"/>
      <c r="K30" s="96" t="s">
        <v>1077</v>
      </c>
      <c r="L30" s="96"/>
      <c r="M30" s="98" t="s">
        <v>1078</v>
      </c>
      <c r="N30" s="96"/>
      <c r="O30" s="101"/>
      <c r="P30" s="102"/>
      <c r="Q30" s="101"/>
      <c r="R30" s="102"/>
      <c r="S30" s="101"/>
      <c r="T30" s="101"/>
    </row>
    <row r="31" spans="1:20" x14ac:dyDescent="0.35">
      <c r="A31" s="119" t="s">
        <v>4</v>
      </c>
      <c r="B31" s="96">
        <v>26</v>
      </c>
      <c r="C31" s="96" t="s">
        <v>1079</v>
      </c>
      <c r="D31" s="97">
        <v>0.182</v>
      </c>
      <c r="E31" s="96">
        <v>26</v>
      </c>
      <c r="F31" s="96" t="s">
        <v>1080</v>
      </c>
      <c r="G31" s="97">
        <v>0.35099999999999998</v>
      </c>
      <c r="H31" s="96">
        <v>46</v>
      </c>
      <c r="I31" s="96" t="s">
        <v>1081</v>
      </c>
      <c r="J31" s="97">
        <v>9.7000000000000003E-2</v>
      </c>
      <c r="K31" s="96" t="s">
        <v>1082</v>
      </c>
      <c r="L31" s="97">
        <v>0.77500000000000002</v>
      </c>
      <c r="M31" s="98" t="s">
        <v>1083</v>
      </c>
      <c r="N31" s="97">
        <v>0.81499999999999995</v>
      </c>
      <c r="O31" s="99">
        <f>(5.81/5.68)/(6.19/6.22)</f>
        <v>1.0278447746251336</v>
      </c>
      <c r="P31" s="99">
        <f>(4.94/5.68)/(5.62/6.22)</f>
        <v>0.96257079845621774</v>
      </c>
      <c r="Q31" s="101"/>
    </row>
    <row r="32" spans="1:20" x14ac:dyDescent="0.35">
      <c r="A32" s="119" t="s">
        <v>1008</v>
      </c>
      <c r="B32" s="96">
        <v>39</v>
      </c>
      <c r="C32" s="96" t="s">
        <v>1084</v>
      </c>
      <c r="D32" s="100"/>
      <c r="E32" s="96">
        <v>39</v>
      </c>
      <c r="F32" s="96" t="s">
        <v>1085</v>
      </c>
      <c r="G32" s="100"/>
      <c r="H32" s="96">
        <v>46</v>
      </c>
      <c r="I32" s="96" t="s">
        <v>1086</v>
      </c>
      <c r="J32" s="100"/>
      <c r="K32" s="101"/>
      <c r="L32" s="102"/>
      <c r="M32" s="101"/>
      <c r="N32" s="102"/>
      <c r="O32" s="101"/>
      <c r="P32" s="101"/>
      <c r="Q32" s="101"/>
    </row>
    <row r="33" spans="1:20" x14ac:dyDescent="0.35">
      <c r="A33" s="119" t="s">
        <v>1012</v>
      </c>
      <c r="B33" s="96">
        <v>16</v>
      </c>
      <c r="C33" s="96" t="s">
        <v>1087</v>
      </c>
      <c r="D33" s="97">
        <v>0.443</v>
      </c>
      <c r="E33" s="96">
        <v>16</v>
      </c>
      <c r="F33" s="96" t="s">
        <v>1088</v>
      </c>
      <c r="G33" s="97">
        <v>0.54200000000000004</v>
      </c>
      <c r="H33" s="96">
        <v>29</v>
      </c>
      <c r="I33" s="96" t="s">
        <v>1089</v>
      </c>
      <c r="J33" s="97">
        <v>0.23799999999999999</v>
      </c>
      <c r="K33" s="96" t="s">
        <v>1090</v>
      </c>
      <c r="L33" s="97">
        <v>0.91200000000000003</v>
      </c>
      <c r="M33" s="105" t="s">
        <v>1091</v>
      </c>
      <c r="N33" s="97">
        <v>0.76800000000000002</v>
      </c>
      <c r="O33" s="99">
        <f>(5.55/5.63)/(5.85/6)</f>
        <v>1.0110670856674409</v>
      </c>
      <c r="P33" s="99">
        <f>(4.78/5.63)/(5.36/6)</f>
        <v>0.95039898199941675</v>
      </c>
      <c r="Q33" s="101"/>
    </row>
    <row r="34" spans="1:20" x14ac:dyDescent="0.35">
      <c r="A34" s="119" t="s">
        <v>974</v>
      </c>
      <c r="B34" s="96">
        <v>24</v>
      </c>
      <c r="C34" s="99" t="s">
        <v>1092</v>
      </c>
      <c r="D34" s="104"/>
      <c r="E34" s="96">
        <v>24</v>
      </c>
      <c r="F34" s="96" t="s">
        <v>1093</v>
      </c>
      <c r="G34" s="100"/>
      <c r="H34" s="96">
        <v>31</v>
      </c>
      <c r="I34" s="96" t="s">
        <v>1094</v>
      </c>
      <c r="J34" s="104"/>
      <c r="K34" s="101"/>
      <c r="L34" s="104"/>
      <c r="M34" s="101"/>
      <c r="N34" s="102"/>
      <c r="O34" s="101"/>
      <c r="P34" s="101"/>
      <c r="Q34" s="101"/>
    </row>
    <row r="35" spans="1:20" x14ac:dyDescent="0.35">
      <c r="A35" s="90" t="s">
        <v>1513</v>
      </c>
      <c r="B35" s="96"/>
      <c r="C35" s="101"/>
      <c r="D35" s="104"/>
      <c r="E35" s="96"/>
      <c r="F35" s="101"/>
      <c r="G35" s="100"/>
      <c r="H35" s="96"/>
      <c r="I35" s="101"/>
      <c r="J35" s="104"/>
      <c r="K35" s="101"/>
      <c r="L35" s="104"/>
      <c r="M35" s="101"/>
      <c r="N35" s="104"/>
      <c r="O35" s="101"/>
      <c r="P35" s="101"/>
      <c r="Q35" s="101"/>
    </row>
    <row r="36" spans="1:20" x14ac:dyDescent="0.35">
      <c r="A36" s="103" t="s">
        <v>1502</v>
      </c>
      <c r="B36" s="96"/>
      <c r="C36" s="96"/>
      <c r="D36" s="100"/>
      <c r="E36" s="96"/>
      <c r="F36" s="96"/>
      <c r="G36" s="100"/>
      <c r="H36" s="96"/>
      <c r="I36" s="96"/>
      <c r="J36" s="97"/>
      <c r="K36" s="98"/>
      <c r="L36" s="96"/>
      <c r="M36" s="98"/>
      <c r="N36" s="96"/>
      <c r="O36" s="98"/>
      <c r="P36" s="100"/>
      <c r="Q36" s="98"/>
      <c r="R36" s="100"/>
      <c r="S36" s="99"/>
      <c r="T36" s="99"/>
    </row>
    <row r="37" spans="1:20" x14ac:dyDescent="0.35">
      <c r="A37" s="119" t="s">
        <v>5</v>
      </c>
      <c r="B37" s="96">
        <v>39</v>
      </c>
      <c r="C37" s="96" t="s">
        <v>1095</v>
      </c>
      <c r="D37" s="100">
        <v>0.14000000000000001</v>
      </c>
      <c r="E37" s="96">
        <v>39</v>
      </c>
      <c r="F37" s="96" t="s">
        <v>1096</v>
      </c>
      <c r="G37" s="100">
        <v>7.0000000000000007E-2</v>
      </c>
      <c r="H37" s="96">
        <v>39</v>
      </c>
      <c r="I37" s="96" t="s">
        <v>1097</v>
      </c>
      <c r="J37" s="100">
        <v>0.06</v>
      </c>
      <c r="K37" s="98" t="s">
        <v>1098</v>
      </c>
      <c r="L37" s="97">
        <v>0.8</v>
      </c>
      <c r="M37" s="98" t="s">
        <v>1099</v>
      </c>
      <c r="N37" s="100">
        <v>0.76</v>
      </c>
      <c r="O37" s="99">
        <f>(5.89/6.01)/(6.53/6.53)</f>
        <v>0.98003327787021632</v>
      </c>
      <c r="P37" s="99">
        <f>(5.05/6.01)/(5.71/6.53)</f>
        <v>0.96093492748513143</v>
      </c>
      <c r="Q37" s="98"/>
      <c r="R37" s="100"/>
      <c r="S37" s="99"/>
      <c r="T37" s="99"/>
    </row>
    <row r="38" spans="1:20" x14ac:dyDescent="0.35">
      <c r="A38" s="119" t="s">
        <v>976</v>
      </c>
      <c r="B38" s="96">
        <v>44</v>
      </c>
      <c r="C38" s="96" t="s">
        <v>1100</v>
      </c>
      <c r="D38" s="100"/>
      <c r="E38" s="96">
        <v>44</v>
      </c>
      <c r="F38" s="96" t="s">
        <v>1100</v>
      </c>
      <c r="G38" s="100"/>
      <c r="H38" s="96">
        <v>44</v>
      </c>
      <c r="I38" s="96" t="s">
        <v>1101</v>
      </c>
      <c r="J38" s="104"/>
      <c r="K38" s="98"/>
      <c r="L38" s="99"/>
      <c r="M38" s="98"/>
      <c r="N38" s="99"/>
      <c r="O38" s="101"/>
      <c r="P38" s="104"/>
      <c r="Q38" s="101"/>
      <c r="R38" s="104"/>
      <c r="S38" s="101"/>
      <c r="T38" s="101"/>
    </row>
    <row r="39" spans="1:20" x14ac:dyDescent="0.35">
      <c r="A39" s="119" t="s">
        <v>4</v>
      </c>
      <c r="B39" s="96">
        <v>50</v>
      </c>
      <c r="C39" s="96" t="s">
        <v>1102</v>
      </c>
      <c r="D39" s="100">
        <v>0.98</v>
      </c>
      <c r="E39" s="96">
        <v>50</v>
      </c>
      <c r="F39" s="96" t="s">
        <v>1103</v>
      </c>
      <c r="G39" s="100">
        <v>0.45</v>
      </c>
      <c r="H39" s="96">
        <v>50</v>
      </c>
      <c r="I39" s="96" t="s">
        <v>1104</v>
      </c>
      <c r="J39" s="100">
        <v>0.64</v>
      </c>
      <c r="K39" s="96" t="s">
        <v>1105</v>
      </c>
      <c r="L39" s="100">
        <v>0.57999999999999996</v>
      </c>
      <c r="M39" s="96" t="s">
        <v>1106</v>
      </c>
      <c r="N39" s="97">
        <v>0.72</v>
      </c>
      <c r="O39" s="99">
        <f>(6.17/6.08)/(5.92/6.09)</f>
        <v>1.0439439233641536</v>
      </c>
      <c r="P39" s="99">
        <f>(5.43/6.08)/(5.28/6.09)</f>
        <v>1.030100553229665</v>
      </c>
      <c r="Q39" s="96"/>
      <c r="R39" s="97"/>
      <c r="S39" s="99"/>
      <c r="T39" s="99"/>
    </row>
    <row r="40" spans="1:20" x14ac:dyDescent="0.35">
      <c r="A40" s="119" t="s">
        <v>1008</v>
      </c>
      <c r="B40" s="96">
        <v>46</v>
      </c>
      <c r="C40" s="96" t="s">
        <v>1035</v>
      </c>
      <c r="D40" s="100"/>
      <c r="E40" s="96">
        <v>47</v>
      </c>
      <c r="F40" s="96" t="s">
        <v>1107</v>
      </c>
      <c r="G40" s="100"/>
      <c r="H40" s="96">
        <v>47</v>
      </c>
      <c r="I40" s="96" t="s">
        <v>1108</v>
      </c>
      <c r="J40" s="104"/>
      <c r="K40" s="98"/>
      <c r="L40" s="96"/>
      <c r="M40" s="98"/>
      <c r="N40" s="96"/>
      <c r="O40" s="101"/>
      <c r="P40" s="104"/>
      <c r="Q40" s="101"/>
      <c r="R40" s="104"/>
      <c r="S40" s="101"/>
      <c r="T40" s="101"/>
    </row>
    <row r="41" spans="1:20" x14ac:dyDescent="0.35">
      <c r="A41" s="119" t="s">
        <v>1012</v>
      </c>
      <c r="B41" s="96">
        <v>28</v>
      </c>
      <c r="C41" s="96" t="s">
        <v>1109</v>
      </c>
      <c r="D41" s="100">
        <v>0.09</v>
      </c>
      <c r="E41" s="96">
        <v>28</v>
      </c>
      <c r="F41" s="96" t="s">
        <v>1110</v>
      </c>
      <c r="G41" s="97">
        <v>0.2</v>
      </c>
      <c r="H41" s="96">
        <v>28</v>
      </c>
      <c r="I41" s="96" t="s">
        <v>1111</v>
      </c>
      <c r="J41" s="97">
        <v>0.41</v>
      </c>
      <c r="K41" s="98" t="s">
        <v>1112</v>
      </c>
      <c r="L41" s="100">
        <v>0.76</v>
      </c>
      <c r="M41" s="105" t="s">
        <v>1113</v>
      </c>
      <c r="N41" s="97">
        <v>0.53</v>
      </c>
      <c r="O41" s="99">
        <f>(5.89/6.03)/(5.38/5.34)</f>
        <v>0.96952042760176793</v>
      </c>
      <c r="P41" s="99">
        <f>(5.21/6.03)/(4.89/5.34)</f>
        <v>0.94352369034174721</v>
      </c>
      <c r="Q41" s="99"/>
      <c r="R41" s="97"/>
      <c r="S41" s="99"/>
      <c r="T41" s="99"/>
    </row>
    <row r="42" spans="1:20" x14ac:dyDescent="0.35">
      <c r="A42" s="119" t="s">
        <v>974</v>
      </c>
      <c r="B42" s="96">
        <v>24</v>
      </c>
      <c r="C42" s="99" t="s">
        <v>1114</v>
      </c>
      <c r="D42" s="100"/>
      <c r="E42" s="96">
        <v>25</v>
      </c>
      <c r="F42" s="96" t="s">
        <v>1115</v>
      </c>
      <c r="G42" s="100"/>
      <c r="H42" s="96">
        <v>25</v>
      </c>
      <c r="I42" s="96" t="s">
        <v>1116</v>
      </c>
      <c r="J42" s="104"/>
      <c r="K42" s="98"/>
      <c r="L42" s="96"/>
      <c r="M42" s="98"/>
      <c r="N42" s="96"/>
      <c r="O42" s="101"/>
      <c r="P42" s="104"/>
      <c r="Q42" s="101"/>
      <c r="R42" s="104"/>
      <c r="S42" s="101"/>
      <c r="T42" s="101"/>
    </row>
    <row r="43" spans="1:20" x14ac:dyDescent="0.35">
      <c r="A43" s="103" t="s">
        <v>1503</v>
      </c>
      <c r="B43" s="96"/>
      <c r="C43" s="96"/>
      <c r="D43" s="100"/>
      <c r="E43" s="96"/>
      <c r="F43" s="96"/>
      <c r="G43" s="100"/>
      <c r="H43" s="96"/>
      <c r="I43" s="101"/>
      <c r="J43" s="100"/>
      <c r="K43" s="101"/>
      <c r="L43" s="104"/>
      <c r="M43" s="101"/>
      <c r="N43" s="104"/>
      <c r="O43" s="101"/>
      <c r="P43" s="101"/>
      <c r="Q43" s="101"/>
    </row>
    <row r="44" spans="1:20" x14ac:dyDescent="0.35">
      <c r="A44" s="119" t="s">
        <v>5</v>
      </c>
      <c r="B44" s="96">
        <v>30</v>
      </c>
      <c r="C44" s="96" t="s">
        <v>1117</v>
      </c>
      <c r="D44" s="100">
        <v>0.98</v>
      </c>
      <c r="E44" s="96">
        <v>30</v>
      </c>
      <c r="F44" s="96" t="s">
        <v>1118</v>
      </c>
      <c r="G44" s="97">
        <v>0.74</v>
      </c>
      <c r="H44" s="96">
        <v>29</v>
      </c>
      <c r="I44" s="96" t="s">
        <v>1119</v>
      </c>
      <c r="J44" s="100">
        <v>0.82</v>
      </c>
      <c r="K44" s="98" t="s">
        <v>1120</v>
      </c>
      <c r="L44" s="100">
        <v>0.82</v>
      </c>
      <c r="M44" s="98" t="s">
        <v>1121</v>
      </c>
      <c r="N44" s="97">
        <v>0.86</v>
      </c>
      <c r="O44" s="99">
        <f>(6.01/6.21)/(6.18/6.22)</f>
        <v>0.97405791890103133</v>
      </c>
      <c r="P44" s="99">
        <f>(5.39/6.21)/(5.27/6.22)</f>
        <v>1.0244173717484499</v>
      </c>
      <c r="Q44" s="98"/>
      <c r="R44" s="97"/>
      <c r="S44" s="99"/>
      <c r="T44" s="99"/>
    </row>
    <row r="45" spans="1:20" x14ac:dyDescent="0.35">
      <c r="A45" s="119" t="s">
        <v>976</v>
      </c>
      <c r="B45" s="96">
        <v>22</v>
      </c>
      <c r="C45" s="96" t="s">
        <v>1122</v>
      </c>
      <c r="D45" s="100"/>
      <c r="E45" s="96">
        <v>22</v>
      </c>
      <c r="F45" s="96" t="s">
        <v>1123</v>
      </c>
      <c r="G45" s="100"/>
      <c r="H45" s="96">
        <v>19</v>
      </c>
      <c r="I45" s="96" t="s">
        <v>1124</v>
      </c>
      <c r="J45" s="100"/>
      <c r="K45" s="96"/>
      <c r="L45" s="96"/>
      <c r="M45" s="98"/>
      <c r="N45" s="96"/>
      <c r="O45" s="101"/>
      <c r="P45" s="104"/>
      <c r="Q45" s="101"/>
      <c r="R45" s="104"/>
      <c r="S45" s="101"/>
      <c r="T45" s="101"/>
    </row>
    <row r="46" spans="1:20" x14ac:dyDescent="0.35">
      <c r="A46" s="119" t="s">
        <v>4</v>
      </c>
      <c r="B46" s="96">
        <v>38</v>
      </c>
      <c r="C46" s="96" t="s">
        <v>1125</v>
      </c>
      <c r="D46" s="100">
        <v>0.01</v>
      </c>
      <c r="E46" s="96">
        <v>37</v>
      </c>
      <c r="F46" s="96" t="s">
        <v>1126</v>
      </c>
      <c r="G46" s="100">
        <v>0.06</v>
      </c>
      <c r="H46" s="96">
        <v>35</v>
      </c>
      <c r="I46" s="96" t="s">
        <v>1127</v>
      </c>
      <c r="J46" s="104">
        <v>0.04</v>
      </c>
      <c r="K46" s="96" t="s">
        <v>1128</v>
      </c>
      <c r="L46" s="100">
        <v>0.71</v>
      </c>
      <c r="M46" s="96" t="s">
        <v>1129</v>
      </c>
      <c r="N46" s="100">
        <v>0.83</v>
      </c>
      <c r="O46" s="99">
        <f>(5.31/5.27)/(6.01/6.16)</f>
        <v>1.0327379730809183</v>
      </c>
      <c r="P46" s="99">
        <f>(4.7/5.27)/(5.49/6.16)</f>
        <v>1.0006808998938903</v>
      </c>
      <c r="Q46" s="96"/>
      <c r="R46" s="100"/>
      <c r="S46" s="99"/>
      <c r="T46" s="99"/>
    </row>
    <row r="47" spans="1:20" x14ac:dyDescent="0.35">
      <c r="A47" s="119" t="s">
        <v>1008</v>
      </c>
      <c r="B47" s="96">
        <v>41</v>
      </c>
      <c r="C47" s="96" t="s">
        <v>1130</v>
      </c>
      <c r="D47" s="100"/>
      <c r="E47" s="96">
        <v>40</v>
      </c>
      <c r="F47" s="96" t="s">
        <v>1095</v>
      </c>
      <c r="G47" s="100"/>
      <c r="H47" s="96">
        <v>40</v>
      </c>
      <c r="I47" s="96" t="s">
        <v>1131</v>
      </c>
      <c r="J47" s="104"/>
      <c r="K47" s="96"/>
      <c r="L47" s="100"/>
      <c r="M47" s="96"/>
      <c r="N47" s="100"/>
      <c r="O47" s="101"/>
      <c r="P47" s="104"/>
      <c r="Q47" s="101"/>
      <c r="R47" s="104"/>
      <c r="S47" s="101"/>
      <c r="T47" s="101"/>
    </row>
    <row r="48" spans="1:20" x14ac:dyDescent="0.35">
      <c r="A48" s="119" t="s">
        <v>1012</v>
      </c>
      <c r="B48" s="96">
        <v>27</v>
      </c>
      <c r="C48" s="96" t="s">
        <v>1132</v>
      </c>
      <c r="D48" s="100">
        <v>0.01</v>
      </c>
      <c r="E48" s="96">
        <v>26</v>
      </c>
      <c r="F48" s="96" t="s">
        <v>1133</v>
      </c>
      <c r="G48" s="97">
        <v>0.11</v>
      </c>
      <c r="H48" s="96">
        <v>26</v>
      </c>
      <c r="I48" s="96" t="s">
        <v>1134</v>
      </c>
      <c r="J48" s="97">
        <v>0.14000000000000001</v>
      </c>
      <c r="K48" s="98" t="s">
        <v>1135</v>
      </c>
      <c r="L48" s="100">
        <v>0.52</v>
      </c>
      <c r="M48" s="105" t="s">
        <v>1136</v>
      </c>
      <c r="N48" s="97">
        <v>0.47</v>
      </c>
      <c r="O48" s="99">
        <f>(5.12/4.99)/(5.79/6.05)</f>
        <v>1.0721269828084492</v>
      </c>
      <c r="P48" s="99">
        <f>(4.73/4.99)/(4.73/6.05)</f>
        <v>1.2124248496993988</v>
      </c>
      <c r="Q48" s="105"/>
      <c r="R48" s="97"/>
      <c r="S48" s="99"/>
      <c r="T48" s="99"/>
    </row>
    <row r="49" spans="1:20" x14ac:dyDescent="0.35">
      <c r="A49" s="119" t="s">
        <v>974</v>
      </c>
      <c r="B49" s="96">
        <v>30</v>
      </c>
      <c r="C49" s="99" t="s">
        <v>1137</v>
      </c>
      <c r="D49" s="100"/>
      <c r="E49" s="96">
        <v>29</v>
      </c>
      <c r="F49" s="96" t="s">
        <v>1138</v>
      </c>
      <c r="G49" s="100"/>
      <c r="H49" s="96">
        <v>30</v>
      </c>
      <c r="I49" s="96" t="s">
        <v>1134</v>
      </c>
      <c r="J49" s="104"/>
      <c r="K49" s="98"/>
      <c r="L49" s="96"/>
      <c r="M49" s="98"/>
      <c r="N49" s="96"/>
      <c r="O49" s="101"/>
      <c r="P49" s="104"/>
      <c r="Q49" s="101"/>
      <c r="R49" s="104"/>
      <c r="S49" s="101"/>
      <c r="T49" s="101"/>
    </row>
    <row r="50" spans="1:20" x14ac:dyDescent="0.35">
      <c r="A50" s="90" t="s">
        <v>1508</v>
      </c>
      <c r="B50" s="101"/>
      <c r="C50" s="101"/>
      <c r="D50" s="104"/>
      <c r="E50" s="101"/>
      <c r="F50" s="101"/>
      <c r="G50" s="104"/>
      <c r="H50" s="101"/>
      <c r="I50" s="101"/>
      <c r="J50" s="104"/>
      <c r="K50" s="101"/>
      <c r="L50" s="104"/>
      <c r="M50" s="101"/>
      <c r="N50" s="104"/>
      <c r="O50" s="101"/>
      <c r="P50" s="101"/>
      <c r="Q50" s="101"/>
    </row>
    <row r="51" spans="1:20" x14ac:dyDescent="0.35">
      <c r="A51" s="103" t="s">
        <v>1509</v>
      </c>
      <c r="B51" s="101"/>
      <c r="C51" s="101"/>
      <c r="D51" s="104"/>
      <c r="E51" s="101"/>
      <c r="F51" s="101"/>
      <c r="G51" s="104"/>
      <c r="H51" s="101"/>
      <c r="I51" s="101"/>
      <c r="J51" s="104"/>
      <c r="K51" s="101"/>
      <c r="L51" s="104"/>
      <c r="M51" s="101"/>
      <c r="N51" s="104"/>
      <c r="O51" s="101"/>
      <c r="P51" s="101"/>
      <c r="Q51" s="101"/>
    </row>
    <row r="52" spans="1:20" x14ac:dyDescent="0.35">
      <c r="A52" s="119" t="s">
        <v>5</v>
      </c>
      <c r="B52" s="96">
        <v>34</v>
      </c>
      <c r="C52" s="96" t="s">
        <v>1139</v>
      </c>
      <c r="D52" s="97">
        <v>3.2000000000000001E-2</v>
      </c>
      <c r="E52" s="96">
        <v>34</v>
      </c>
      <c r="F52" s="96" t="s">
        <v>1140</v>
      </c>
      <c r="G52" s="106">
        <v>3.0000000000000001E-3</v>
      </c>
      <c r="H52" s="96">
        <v>34</v>
      </c>
      <c r="I52" s="99" t="s">
        <v>1141</v>
      </c>
      <c r="J52" s="97">
        <v>4.9000000000000002E-2</v>
      </c>
      <c r="K52" s="98" t="s">
        <v>1142</v>
      </c>
      <c r="L52" s="97">
        <v>0.54800000000000004</v>
      </c>
      <c r="M52" s="96" t="s">
        <v>1143</v>
      </c>
      <c r="N52" s="97">
        <v>0.91400000000000003</v>
      </c>
      <c r="O52" s="99">
        <f>(5.6/5.82)/(6.75/6.64)</f>
        <v>0.94651902761868389</v>
      </c>
      <c r="P52" s="99">
        <f>(5.04/5.82)/(5.8/6.64)</f>
        <v>0.9913970849626732</v>
      </c>
      <c r="Q52" s="101"/>
    </row>
    <row r="53" spans="1:20" x14ac:dyDescent="0.35">
      <c r="A53" s="119" t="s">
        <v>976</v>
      </c>
      <c r="B53" s="96">
        <v>37</v>
      </c>
      <c r="C53" s="96" t="s">
        <v>1144</v>
      </c>
      <c r="D53" s="100"/>
      <c r="E53" s="96">
        <v>37</v>
      </c>
      <c r="F53" s="96" t="s">
        <v>1145</v>
      </c>
      <c r="G53" s="100"/>
      <c r="H53" s="96">
        <v>35</v>
      </c>
      <c r="I53" s="96" t="s">
        <v>1146</v>
      </c>
      <c r="J53" s="100"/>
      <c r="K53" s="101"/>
      <c r="L53" s="102"/>
      <c r="M53" s="101"/>
      <c r="N53" s="102"/>
      <c r="O53" s="101"/>
      <c r="P53" s="101"/>
      <c r="Q53" s="101"/>
    </row>
    <row r="54" spans="1:20" x14ac:dyDescent="0.35">
      <c r="A54" s="119" t="s">
        <v>4</v>
      </c>
      <c r="B54" s="96">
        <v>37</v>
      </c>
      <c r="C54" s="96" t="s">
        <v>1146</v>
      </c>
      <c r="D54" s="97">
        <v>0.19700000000000001</v>
      </c>
      <c r="E54" s="96">
        <v>37</v>
      </c>
      <c r="F54" s="96" t="s">
        <v>1147</v>
      </c>
      <c r="G54" s="97">
        <v>0.53500000000000003</v>
      </c>
      <c r="H54" s="96">
        <v>36</v>
      </c>
      <c r="I54" s="96" t="s">
        <v>1148</v>
      </c>
      <c r="J54" s="97">
        <v>0.39600000000000002</v>
      </c>
      <c r="K54" s="99" t="s">
        <v>1149</v>
      </c>
      <c r="L54" s="97">
        <v>0.63700000000000001</v>
      </c>
      <c r="M54" s="96" t="s">
        <v>1150</v>
      </c>
      <c r="N54" s="97">
        <v>0.76100000000000001</v>
      </c>
      <c r="O54" s="99">
        <f>(5.9/5.8)/(6.11/6.25)</f>
        <v>1.0405496924205657</v>
      </c>
      <c r="P54" s="99">
        <f>(5.17/5.8)/(5.47/6.25)</f>
        <v>1.0184864149278194</v>
      </c>
      <c r="Q54" s="101"/>
    </row>
    <row r="55" spans="1:20" x14ac:dyDescent="0.35">
      <c r="A55" s="119" t="s">
        <v>1008</v>
      </c>
      <c r="B55" s="96">
        <v>50</v>
      </c>
      <c r="C55" s="96" t="s">
        <v>1151</v>
      </c>
      <c r="D55" s="100"/>
      <c r="E55" s="96">
        <v>49</v>
      </c>
      <c r="F55" s="96" t="s">
        <v>1152</v>
      </c>
      <c r="G55" s="100"/>
      <c r="H55" s="96">
        <v>49</v>
      </c>
      <c r="I55" s="96" t="s">
        <v>1153</v>
      </c>
      <c r="J55" s="100"/>
      <c r="K55" s="101"/>
      <c r="L55" s="102"/>
      <c r="M55" s="101"/>
      <c r="N55" s="102"/>
      <c r="O55" s="101"/>
      <c r="P55" s="101"/>
      <c r="Q55" s="101"/>
    </row>
    <row r="56" spans="1:20" x14ac:dyDescent="0.35">
      <c r="A56" s="119" t="s">
        <v>1012</v>
      </c>
      <c r="B56" s="96">
        <v>20</v>
      </c>
      <c r="C56" s="96" t="s">
        <v>1154</v>
      </c>
      <c r="D56" s="97">
        <v>0.44900000000000001</v>
      </c>
      <c r="E56" s="96">
        <v>20</v>
      </c>
      <c r="F56" s="96" t="s">
        <v>1155</v>
      </c>
      <c r="G56" s="97">
        <v>0.503</v>
      </c>
      <c r="H56" s="96">
        <v>20</v>
      </c>
      <c r="I56" s="96" t="s">
        <v>1156</v>
      </c>
      <c r="J56" s="97">
        <v>0.69799999999999995</v>
      </c>
      <c r="K56" s="96" t="s">
        <v>1157</v>
      </c>
      <c r="L56" s="97">
        <v>0.95399999999999996</v>
      </c>
      <c r="M56" s="96" t="s">
        <v>1158</v>
      </c>
      <c r="N56" s="97">
        <v>0.79400000000000004</v>
      </c>
      <c r="O56" s="99">
        <f>(5.3/5.44)/(5.59/5.76)</f>
        <v>1.0038935073134798</v>
      </c>
      <c r="P56" s="99">
        <f>(4.93/5.44)/(5.09/5.76)</f>
        <v>1.0255402750491158</v>
      </c>
      <c r="Q56" s="101"/>
    </row>
    <row r="57" spans="1:20" x14ac:dyDescent="0.35">
      <c r="A57" s="119" t="s">
        <v>974</v>
      </c>
      <c r="B57" s="96">
        <v>30</v>
      </c>
      <c r="C57" s="96" t="s">
        <v>1159</v>
      </c>
      <c r="D57" s="100"/>
      <c r="E57" s="96">
        <v>29</v>
      </c>
      <c r="F57" s="96" t="s">
        <v>1160</v>
      </c>
      <c r="G57" s="100"/>
      <c r="H57" s="96">
        <v>30</v>
      </c>
      <c r="I57" s="96" t="s">
        <v>1161</v>
      </c>
      <c r="J57" s="104"/>
      <c r="K57" s="101"/>
      <c r="L57" s="102"/>
      <c r="M57" s="101"/>
      <c r="N57" s="104"/>
      <c r="O57" s="101"/>
      <c r="P57" s="101"/>
      <c r="Q57" s="101"/>
    </row>
    <row r="58" spans="1:20" x14ac:dyDescent="0.35">
      <c r="A58" s="103" t="s">
        <v>1510</v>
      </c>
      <c r="B58" s="96"/>
      <c r="C58" s="96"/>
      <c r="D58" s="100"/>
      <c r="E58" s="96"/>
      <c r="F58" s="96"/>
      <c r="G58" s="100"/>
      <c r="H58" s="96"/>
      <c r="I58" s="101"/>
      <c r="J58" s="104"/>
      <c r="K58" s="101"/>
      <c r="L58" s="102"/>
      <c r="M58" s="101"/>
      <c r="N58" s="104"/>
      <c r="O58" s="96"/>
      <c r="P58" s="101"/>
      <c r="Q58" s="101"/>
    </row>
    <row r="59" spans="1:20" x14ac:dyDescent="0.35">
      <c r="A59" s="119" t="s">
        <v>5</v>
      </c>
      <c r="B59" s="96">
        <v>35</v>
      </c>
      <c r="C59" s="96" t="s">
        <v>1162</v>
      </c>
      <c r="D59" s="97">
        <v>0.58799999999999997</v>
      </c>
      <c r="E59" s="96">
        <v>35</v>
      </c>
      <c r="F59" s="96" t="s">
        <v>345</v>
      </c>
      <c r="G59" s="97">
        <v>0.47599999999999998</v>
      </c>
      <c r="H59" s="96">
        <v>34</v>
      </c>
      <c r="I59" s="96" t="s">
        <v>1163</v>
      </c>
      <c r="J59" s="97">
        <v>0.91600000000000004</v>
      </c>
      <c r="K59" s="96" t="s">
        <v>1164</v>
      </c>
      <c r="L59" s="97">
        <v>0.90400000000000003</v>
      </c>
      <c r="M59" s="105" t="s">
        <v>1165</v>
      </c>
      <c r="N59" s="97">
        <v>0.58699999999999997</v>
      </c>
      <c r="O59" s="99">
        <f>(6.27/6.37)/(5.98/6.15)</f>
        <v>1.0122832256133736</v>
      </c>
      <c r="P59" s="99">
        <f>(5.35/6.37)/(5.31/6.15)</f>
        <v>0.97273590009667499</v>
      </c>
      <c r="Q59" s="101"/>
    </row>
    <row r="60" spans="1:20" x14ac:dyDescent="0.35">
      <c r="A60" s="119" t="s">
        <v>976</v>
      </c>
      <c r="B60" s="96">
        <v>29</v>
      </c>
      <c r="C60" s="96" t="s">
        <v>1166</v>
      </c>
      <c r="D60" s="100"/>
      <c r="E60" s="96">
        <v>29</v>
      </c>
      <c r="F60" s="96" t="s">
        <v>1167</v>
      </c>
      <c r="G60" s="100"/>
      <c r="H60" s="96">
        <v>28</v>
      </c>
      <c r="I60" s="99" t="s">
        <v>1168</v>
      </c>
      <c r="J60" s="104"/>
      <c r="K60" s="96"/>
      <c r="L60" s="104"/>
      <c r="M60" s="101"/>
      <c r="N60" s="104"/>
      <c r="O60" s="101"/>
      <c r="P60" s="101"/>
      <c r="Q60" s="101"/>
    </row>
    <row r="61" spans="1:20" x14ac:dyDescent="0.35">
      <c r="A61" s="119" t="s">
        <v>4</v>
      </c>
      <c r="B61" s="96">
        <v>51</v>
      </c>
      <c r="C61" s="96" t="s">
        <v>1169</v>
      </c>
      <c r="D61" s="100">
        <v>0.45</v>
      </c>
      <c r="E61" s="96">
        <v>50</v>
      </c>
      <c r="F61" s="96" t="s">
        <v>1170</v>
      </c>
      <c r="G61" s="100">
        <v>0.93</v>
      </c>
      <c r="H61" s="96">
        <v>49</v>
      </c>
      <c r="I61" s="96" t="s">
        <v>1171</v>
      </c>
      <c r="J61" s="100">
        <v>0.69</v>
      </c>
      <c r="K61" s="96" t="s">
        <v>1172</v>
      </c>
      <c r="L61" s="100">
        <v>0.64</v>
      </c>
      <c r="M61" s="99" t="s">
        <v>1173</v>
      </c>
      <c r="N61" s="97">
        <v>0.8</v>
      </c>
      <c r="O61" s="99">
        <f>(5.74/5.68)/(5.77/5.95)</f>
        <v>1.0420887543632682</v>
      </c>
      <c r="P61" s="99">
        <f>(5.1/5.68)/(5.24/5.95)</f>
        <v>1.0195476292871735</v>
      </c>
      <c r="Q61" s="101"/>
    </row>
    <row r="62" spans="1:20" x14ac:dyDescent="0.35">
      <c r="A62" s="119" t="s">
        <v>1008</v>
      </c>
      <c r="B62" s="96">
        <v>37</v>
      </c>
      <c r="C62" s="96" t="s">
        <v>1174</v>
      </c>
      <c r="D62" s="100"/>
      <c r="E62" s="96">
        <v>38</v>
      </c>
      <c r="F62" s="96" t="s">
        <v>1175</v>
      </c>
      <c r="G62" s="100"/>
      <c r="H62" s="96">
        <v>38</v>
      </c>
      <c r="I62" s="96" t="s">
        <v>1176</v>
      </c>
      <c r="J62" s="104"/>
      <c r="K62" s="101"/>
      <c r="L62" s="104"/>
      <c r="M62" s="101"/>
      <c r="N62" s="104"/>
      <c r="O62" s="101"/>
      <c r="P62" s="101"/>
      <c r="Q62" s="101"/>
    </row>
    <row r="63" spans="1:20" x14ac:dyDescent="0.35">
      <c r="A63" s="119" t="s">
        <v>1012</v>
      </c>
      <c r="B63" s="96">
        <v>35</v>
      </c>
      <c r="C63" s="96" t="s">
        <v>1177</v>
      </c>
      <c r="D63" s="97">
        <v>0.73299999999999998</v>
      </c>
      <c r="E63" s="96">
        <v>34</v>
      </c>
      <c r="F63" s="96" t="s">
        <v>1178</v>
      </c>
      <c r="G63" s="97">
        <v>0.95299999999999996</v>
      </c>
      <c r="H63" s="96">
        <v>34</v>
      </c>
      <c r="I63" s="96" t="s">
        <v>1179</v>
      </c>
      <c r="J63" s="97">
        <v>0.64700000000000002</v>
      </c>
      <c r="K63" s="96" t="s">
        <v>1180</v>
      </c>
      <c r="L63" s="97">
        <v>0.77700000000000002</v>
      </c>
      <c r="M63" s="98" t="s">
        <v>1181</v>
      </c>
      <c r="N63" s="97">
        <v>0.93600000000000005</v>
      </c>
      <c r="O63" s="99">
        <f>(5.65/5.56)/(5.63/5.71)</f>
        <v>1.0306266532067421</v>
      </c>
      <c r="P63" s="99">
        <f>(5.01/5.56)/(5.21/5.71)</f>
        <v>0.98755506151700523</v>
      </c>
      <c r="Q63" s="101"/>
    </row>
    <row r="64" spans="1:20" x14ac:dyDescent="0.35">
      <c r="A64" s="119" t="s">
        <v>974</v>
      </c>
      <c r="B64" s="120">
        <v>24</v>
      </c>
      <c r="C64" s="120" t="s">
        <v>1182</v>
      </c>
      <c r="D64" s="121"/>
      <c r="E64" s="120">
        <v>25</v>
      </c>
      <c r="F64" s="120" t="s">
        <v>1183</v>
      </c>
      <c r="G64" s="121"/>
      <c r="H64" s="120">
        <v>25</v>
      </c>
      <c r="I64" s="120" t="s">
        <v>1184</v>
      </c>
      <c r="J64" s="94"/>
      <c r="K64" s="122"/>
      <c r="L64" s="94"/>
      <c r="M64" s="122"/>
      <c r="N64" s="94"/>
      <c r="O64" s="122"/>
      <c r="P64" s="122"/>
      <c r="Q64" s="101"/>
    </row>
    <row r="65" spans="1:17" ht="18.5" x14ac:dyDescent="0.35">
      <c r="A65" s="91" t="s">
        <v>1185</v>
      </c>
      <c r="B65" s="92"/>
      <c r="C65" s="92"/>
      <c r="D65" s="93"/>
      <c r="E65" s="92"/>
      <c r="F65" s="92"/>
      <c r="G65" s="93"/>
      <c r="H65" s="92"/>
      <c r="I65" s="92"/>
      <c r="J65" s="93"/>
      <c r="K65" s="92"/>
      <c r="L65" s="93"/>
      <c r="M65" s="92"/>
      <c r="N65" s="93"/>
      <c r="O65" s="92"/>
      <c r="P65" s="92"/>
      <c r="Q65" s="101"/>
    </row>
    <row r="66" spans="1:17" ht="18.5" x14ac:dyDescent="0.35">
      <c r="A66" s="94" t="s">
        <v>1511</v>
      </c>
      <c r="B66" s="92"/>
      <c r="C66" s="92"/>
      <c r="D66" s="93"/>
      <c r="E66" s="92"/>
      <c r="F66" s="92"/>
      <c r="G66" s="93"/>
      <c r="H66" s="92"/>
      <c r="I66" s="92"/>
      <c r="J66" s="93"/>
      <c r="K66" s="92"/>
      <c r="L66" s="93"/>
      <c r="M66" s="92"/>
      <c r="N66" s="93"/>
      <c r="O66" s="92"/>
      <c r="P66" s="92"/>
      <c r="Q66" s="101"/>
    </row>
    <row r="67" spans="1:17" x14ac:dyDescent="0.35">
      <c r="A67" s="103" t="s">
        <v>1507</v>
      </c>
      <c r="B67" s="92"/>
      <c r="C67" s="92"/>
      <c r="D67" s="93"/>
      <c r="E67" s="92"/>
      <c r="F67" s="92"/>
      <c r="G67" s="93"/>
      <c r="H67" s="92"/>
      <c r="I67" s="92"/>
      <c r="J67" s="93"/>
      <c r="K67" s="92"/>
      <c r="L67" s="93"/>
      <c r="M67" s="92"/>
      <c r="N67" s="93"/>
      <c r="O67" s="92"/>
      <c r="P67" s="92"/>
      <c r="Q67" s="101"/>
    </row>
    <row r="68" spans="1:17" x14ac:dyDescent="0.35">
      <c r="A68" s="119" t="s">
        <v>5</v>
      </c>
      <c r="B68" s="96">
        <v>29</v>
      </c>
      <c r="C68" s="96" t="s">
        <v>1186</v>
      </c>
      <c r="D68" s="97">
        <v>0.23499999999999999</v>
      </c>
      <c r="E68" s="96">
        <v>29</v>
      </c>
      <c r="F68" s="96" t="s">
        <v>1187</v>
      </c>
      <c r="G68" s="97">
        <v>0.19500000000000001</v>
      </c>
      <c r="H68" s="96">
        <v>28</v>
      </c>
      <c r="I68" s="96" t="s">
        <v>1188</v>
      </c>
      <c r="J68" s="97">
        <v>7.1999999999999995E-2</v>
      </c>
      <c r="K68" s="98" t="s">
        <v>1189</v>
      </c>
      <c r="L68" s="97">
        <v>0.93799999999999994</v>
      </c>
      <c r="M68" s="98" t="s">
        <v>1190</v>
      </c>
      <c r="N68" s="97">
        <v>0.65300000000000002</v>
      </c>
      <c r="O68" s="99">
        <f>(2.47/2.53)/(2.76/2.79)</f>
        <v>0.98689637394741392</v>
      </c>
      <c r="P68" s="99">
        <f>(1.97/2.53)/(2.38/2.79)</f>
        <v>0.91279436675856129</v>
      </c>
      <c r="Q68" s="101"/>
    </row>
    <row r="69" spans="1:17" x14ac:dyDescent="0.35">
      <c r="A69" s="119" t="s">
        <v>976</v>
      </c>
      <c r="B69" s="96">
        <v>31</v>
      </c>
      <c r="C69" s="96" t="s">
        <v>1191</v>
      </c>
      <c r="D69" s="100"/>
      <c r="E69" s="96">
        <v>31</v>
      </c>
      <c r="F69" s="96" t="s">
        <v>1192</v>
      </c>
      <c r="G69" s="97"/>
      <c r="H69" s="96">
        <v>31</v>
      </c>
      <c r="I69" s="96" t="s">
        <v>1193</v>
      </c>
      <c r="J69" s="100"/>
      <c r="K69" s="101"/>
      <c r="L69" s="102"/>
      <c r="M69" s="101"/>
      <c r="N69" s="102"/>
      <c r="O69" s="101"/>
      <c r="P69" s="101"/>
      <c r="Q69" s="101"/>
    </row>
    <row r="70" spans="1:17" x14ac:dyDescent="0.35">
      <c r="A70" s="119" t="s">
        <v>4</v>
      </c>
      <c r="B70" s="96">
        <v>40</v>
      </c>
      <c r="C70" s="96" t="s">
        <v>1194</v>
      </c>
      <c r="D70" s="97">
        <v>0.13600000000000001</v>
      </c>
      <c r="E70" s="96">
        <v>40</v>
      </c>
      <c r="F70" s="96" t="s">
        <v>1195</v>
      </c>
      <c r="G70" s="97">
        <v>0.69399999999999995</v>
      </c>
      <c r="H70" s="96">
        <v>39</v>
      </c>
      <c r="I70" s="96" t="s">
        <v>1196</v>
      </c>
      <c r="J70" s="97">
        <v>0.35599999999999998</v>
      </c>
      <c r="K70" s="96" t="s">
        <v>1197</v>
      </c>
      <c r="L70" s="97">
        <v>0.434</v>
      </c>
      <c r="M70" s="96" t="s">
        <v>723</v>
      </c>
      <c r="N70" s="97">
        <v>0.68700000000000006</v>
      </c>
      <c r="O70" s="99">
        <f>(2.43/2.37)/(2.5/2.65)</f>
        <v>1.0868354430379745</v>
      </c>
      <c r="P70" s="99">
        <f>(2.09/2.37)/(2.26/2.65)</f>
        <v>1.0340353235502782</v>
      </c>
      <c r="Q70" s="101"/>
    </row>
    <row r="71" spans="1:17" x14ac:dyDescent="0.35">
      <c r="A71" s="119" t="s">
        <v>1008</v>
      </c>
      <c r="B71" s="96">
        <v>40</v>
      </c>
      <c r="C71" s="96" t="s">
        <v>1198</v>
      </c>
      <c r="D71" s="100"/>
      <c r="E71" s="96">
        <v>41</v>
      </c>
      <c r="F71" s="99" t="s">
        <v>1199</v>
      </c>
      <c r="G71" s="97"/>
      <c r="H71" s="96">
        <v>41</v>
      </c>
      <c r="I71" s="96" t="s">
        <v>1200</v>
      </c>
      <c r="J71" s="100"/>
      <c r="K71" s="96"/>
      <c r="L71" s="97"/>
      <c r="M71" s="96"/>
      <c r="N71" s="97"/>
      <c r="O71" s="96"/>
      <c r="P71" s="101"/>
      <c r="Q71" s="101"/>
    </row>
    <row r="72" spans="1:17" x14ac:dyDescent="0.35">
      <c r="A72" s="119" t="s">
        <v>1012</v>
      </c>
      <c r="B72" s="96">
        <v>26</v>
      </c>
      <c r="C72" s="96" t="s">
        <v>1201</v>
      </c>
      <c r="D72" s="97">
        <v>0.34399999999999997</v>
      </c>
      <c r="E72" s="96">
        <v>26</v>
      </c>
      <c r="F72" s="96" t="s">
        <v>1202</v>
      </c>
      <c r="G72" s="97">
        <v>0.69199999999999995</v>
      </c>
      <c r="H72" s="96">
        <v>25</v>
      </c>
      <c r="I72" s="96" t="s">
        <v>1188</v>
      </c>
      <c r="J72" s="97">
        <v>0.47</v>
      </c>
      <c r="K72" s="96" t="s">
        <v>1203</v>
      </c>
      <c r="L72" s="97">
        <v>0.69299999999999995</v>
      </c>
      <c r="M72" s="96" t="s">
        <v>1204</v>
      </c>
      <c r="N72" s="97">
        <v>0.873</v>
      </c>
      <c r="O72" s="99">
        <f>(2.24/2.23)/(2.33/2.45)</f>
        <v>1.0562174021824902</v>
      </c>
      <c r="P72" s="99">
        <f>(1.97/2.23)/(1.97/2.45)</f>
        <v>1.0986547085201794</v>
      </c>
      <c r="Q72" s="101"/>
    </row>
    <row r="73" spans="1:17" x14ac:dyDescent="0.35">
      <c r="A73" s="119" t="s">
        <v>974</v>
      </c>
      <c r="B73" s="96">
        <v>23</v>
      </c>
      <c r="C73" s="96" t="s">
        <v>1205</v>
      </c>
      <c r="D73" s="100"/>
      <c r="E73" s="96">
        <v>24</v>
      </c>
      <c r="F73" s="96" t="s">
        <v>1206</v>
      </c>
      <c r="G73" s="97"/>
      <c r="H73" s="96">
        <v>24</v>
      </c>
      <c r="I73" s="96" t="s">
        <v>1188</v>
      </c>
      <c r="J73" s="100"/>
      <c r="K73" s="101"/>
      <c r="L73" s="102"/>
      <c r="M73" s="101"/>
      <c r="N73" s="102"/>
      <c r="O73" s="101"/>
      <c r="P73" s="101"/>
      <c r="Q73" s="101"/>
    </row>
    <row r="74" spans="1:17" x14ac:dyDescent="0.35">
      <c r="A74" s="103" t="s">
        <v>1506</v>
      </c>
      <c r="B74" s="96"/>
      <c r="C74" s="96"/>
      <c r="D74" s="100"/>
      <c r="E74" s="96"/>
      <c r="F74" s="96"/>
      <c r="G74" s="97"/>
      <c r="H74" s="96"/>
      <c r="I74" s="96"/>
      <c r="J74" s="100"/>
      <c r="K74" s="101"/>
      <c r="L74" s="102"/>
      <c r="M74" s="101"/>
      <c r="N74" s="102"/>
      <c r="O74" s="101"/>
      <c r="P74" s="101"/>
      <c r="Q74" s="101"/>
    </row>
    <row r="75" spans="1:17" x14ac:dyDescent="0.35">
      <c r="A75" s="119" t="s">
        <v>5</v>
      </c>
      <c r="B75" s="96">
        <v>40</v>
      </c>
      <c r="C75" s="99" t="s">
        <v>1207</v>
      </c>
      <c r="D75" s="97">
        <v>0.76600000000000001</v>
      </c>
      <c r="E75" s="96">
        <v>40</v>
      </c>
      <c r="F75" s="96" t="s">
        <v>1208</v>
      </c>
      <c r="G75" s="97">
        <v>0.435</v>
      </c>
      <c r="H75" s="96">
        <v>40</v>
      </c>
      <c r="I75" s="96" t="s">
        <v>1193</v>
      </c>
      <c r="J75" s="97">
        <v>0.83199999999999996</v>
      </c>
      <c r="K75" s="98" t="s">
        <v>1209</v>
      </c>
      <c r="L75" s="97">
        <v>0.73199999999999998</v>
      </c>
      <c r="M75" s="96" t="s">
        <v>1210</v>
      </c>
      <c r="N75" s="97">
        <v>0.95499999999999996</v>
      </c>
      <c r="O75" s="99">
        <f>(2.66/2.74)/(2.83/2.8)</f>
        <v>0.96051172267932194</v>
      </c>
      <c r="P75" s="99">
        <f>(2.38/2.74)/(2.43/2.8)</f>
        <v>1.0008711063050071</v>
      </c>
      <c r="Q75" s="101"/>
    </row>
    <row r="76" spans="1:17" x14ac:dyDescent="0.35">
      <c r="A76" s="119" t="s">
        <v>976</v>
      </c>
      <c r="B76" s="96">
        <v>35</v>
      </c>
      <c r="C76" s="99" t="s">
        <v>1211</v>
      </c>
      <c r="D76" s="100"/>
      <c r="E76" s="96">
        <v>35</v>
      </c>
      <c r="F76" s="96" t="s">
        <v>1212</v>
      </c>
      <c r="G76" s="97"/>
      <c r="H76" s="96">
        <v>32</v>
      </c>
      <c r="I76" s="96" t="s">
        <v>1213</v>
      </c>
      <c r="J76" s="100"/>
      <c r="K76" s="101"/>
      <c r="L76" s="102"/>
      <c r="M76" s="101"/>
      <c r="N76" s="102"/>
      <c r="O76" s="101"/>
      <c r="P76" s="101"/>
      <c r="Q76" s="101"/>
    </row>
    <row r="77" spans="1:17" x14ac:dyDescent="0.35">
      <c r="A77" s="119" t="s">
        <v>4</v>
      </c>
      <c r="B77" s="96">
        <v>48</v>
      </c>
      <c r="C77" s="96" t="s">
        <v>1214</v>
      </c>
      <c r="D77" s="97">
        <v>0.26600000000000001</v>
      </c>
      <c r="E77" s="96">
        <v>47</v>
      </c>
      <c r="F77" s="96" t="s">
        <v>1215</v>
      </c>
      <c r="G77" s="97">
        <v>0.52400000000000002</v>
      </c>
      <c r="H77" s="96">
        <v>46</v>
      </c>
      <c r="I77" s="96" t="s">
        <v>1216</v>
      </c>
      <c r="J77" s="97">
        <v>0.63600000000000001</v>
      </c>
      <c r="K77" s="96" t="s">
        <v>1217</v>
      </c>
      <c r="L77" s="97">
        <v>0.74099999999999999</v>
      </c>
      <c r="M77" s="96" t="s">
        <v>1218</v>
      </c>
      <c r="N77" s="97">
        <v>0.65700000000000003</v>
      </c>
      <c r="O77" s="99">
        <f>(2.57/2.51)/(2.69/2.73)</f>
        <v>1.0391297264473704</v>
      </c>
      <c r="P77" s="99">
        <f>(2.29/2.51)/(2.39/2.73)</f>
        <v>1.0421410591941858</v>
      </c>
      <c r="Q77" s="101"/>
    </row>
    <row r="78" spans="1:17" x14ac:dyDescent="0.35">
      <c r="A78" s="119" t="s">
        <v>1008</v>
      </c>
      <c r="B78" s="96">
        <v>47</v>
      </c>
      <c r="C78" s="96" t="s">
        <v>1219</v>
      </c>
      <c r="D78" s="100"/>
      <c r="E78" s="96">
        <v>46</v>
      </c>
      <c r="F78" s="96" t="s">
        <v>1220</v>
      </c>
      <c r="G78" s="97"/>
      <c r="H78" s="96">
        <v>46</v>
      </c>
      <c r="I78" s="96" t="s">
        <v>1221</v>
      </c>
      <c r="J78" s="100"/>
      <c r="K78" s="101"/>
      <c r="L78" s="102"/>
      <c r="M78" s="101"/>
      <c r="N78" s="102"/>
      <c r="O78" s="101"/>
      <c r="P78" s="101"/>
      <c r="Q78" s="101"/>
    </row>
    <row r="79" spans="1:17" x14ac:dyDescent="0.35">
      <c r="A79" s="119" t="s">
        <v>1012</v>
      </c>
      <c r="B79" s="96">
        <v>29</v>
      </c>
      <c r="C79" s="96" t="s">
        <v>1222</v>
      </c>
      <c r="D79" s="97">
        <v>0.189</v>
      </c>
      <c r="E79" s="96">
        <v>28</v>
      </c>
      <c r="F79" s="96" t="s">
        <v>1223</v>
      </c>
      <c r="G79" s="97">
        <v>0.26800000000000002</v>
      </c>
      <c r="H79" s="96">
        <v>29</v>
      </c>
      <c r="I79" s="96" t="s">
        <v>1224</v>
      </c>
      <c r="J79" s="97">
        <v>0.30099999999999999</v>
      </c>
      <c r="K79" s="96" t="s">
        <v>1225</v>
      </c>
      <c r="L79" s="97">
        <v>0.89500000000000002</v>
      </c>
      <c r="M79" s="96" t="s">
        <v>1226</v>
      </c>
      <c r="N79" s="97">
        <v>0.84299999999999997</v>
      </c>
      <c r="O79" s="99">
        <f>(2.37/2.37)/(2.63/2.66)</f>
        <v>1.0114068441064639</v>
      </c>
      <c r="P79" s="99">
        <f>(2.17/2.36)/(2.4/2.66)</f>
        <v>1.0191031073446328</v>
      </c>
      <c r="Q79" s="101"/>
    </row>
    <row r="80" spans="1:17" x14ac:dyDescent="0.35">
      <c r="A80" s="119" t="s">
        <v>974</v>
      </c>
      <c r="B80" s="96">
        <v>31</v>
      </c>
      <c r="C80" s="96" t="s">
        <v>1227</v>
      </c>
      <c r="D80" s="100"/>
      <c r="E80" s="96">
        <v>30</v>
      </c>
      <c r="F80" s="96" t="s">
        <v>1228</v>
      </c>
      <c r="G80" s="100"/>
      <c r="H80" s="96">
        <v>31</v>
      </c>
      <c r="I80" s="99" t="s">
        <v>383</v>
      </c>
      <c r="J80" s="100"/>
      <c r="K80" s="101"/>
      <c r="L80" s="104"/>
      <c r="M80" s="101"/>
      <c r="N80" s="104"/>
      <c r="O80" s="101"/>
      <c r="P80" s="101"/>
      <c r="Q80" s="101"/>
    </row>
    <row r="81" spans="1:17" x14ac:dyDescent="0.35">
      <c r="A81" s="90" t="s">
        <v>1512</v>
      </c>
      <c r="B81" s="96"/>
      <c r="C81" s="96"/>
      <c r="D81" s="100"/>
      <c r="E81" s="96"/>
      <c r="F81" s="96"/>
      <c r="G81" s="100"/>
      <c r="H81" s="96"/>
      <c r="I81" s="96"/>
      <c r="J81" s="100"/>
      <c r="K81" s="101"/>
      <c r="L81" s="104"/>
      <c r="M81" s="101"/>
      <c r="N81" s="104"/>
      <c r="O81" s="101"/>
      <c r="P81" s="101"/>
      <c r="Q81" s="101"/>
    </row>
    <row r="82" spans="1:17" x14ac:dyDescent="0.35">
      <c r="A82" s="103" t="s">
        <v>1505</v>
      </c>
      <c r="B82" s="96"/>
      <c r="C82" s="101"/>
      <c r="D82" s="104"/>
      <c r="E82" s="96"/>
      <c r="F82" s="101"/>
      <c r="G82" s="100"/>
      <c r="H82" s="96"/>
      <c r="I82" s="101"/>
      <c r="J82" s="104"/>
      <c r="K82" s="101"/>
      <c r="L82" s="104"/>
      <c r="M82" s="101"/>
      <c r="N82" s="104"/>
      <c r="O82" s="101"/>
      <c r="P82" s="101"/>
      <c r="Q82" s="101"/>
    </row>
    <row r="83" spans="1:17" x14ac:dyDescent="0.35">
      <c r="A83" s="119" t="s">
        <v>5</v>
      </c>
      <c r="B83" s="96">
        <v>39</v>
      </c>
      <c r="C83" s="96" t="s">
        <v>1229</v>
      </c>
      <c r="D83" s="97">
        <v>0.13400000000000001</v>
      </c>
      <c r="E83" s="96">
        <v>39</v>
      </c>
      <c r="F83" s="96" t="s">
        <v>1230</v>
      </c>
      <c r="G83" s="97">
        <v>0.20799999999999999</v>
      </c>
      <c r="H83" s="96">
        <v>38</v>
      </c>
      <c r="I83" s="96" t="s">
        <v>1231</v>
      </c>
      <c r="J83" s="97">
        <v>0.40400000000000003</v>
      </c>
      <c r="K83" s="96" t="s">
        <v>573</v>
      </c>
      <c r="L83" s="97">
        <v>0.86599999999999999</v>
      </c>
      <c r="M83" s="96" t="s">
        <v>1232</v>
      </c>
      <c r="N83" s="97">
        <v>0.65300000000000002</v>
      </c>
      <c r="O83" s="99">
        <f>(2.54/2.58)/(2.79/2.89)</f>
        <v>1.0197827234586423</v>
      </c>
      <c r="P83" s="99">
        <f>(2.24/2.58)/(2.24/2.89)</f>
        <v>1.1201550387596901</v>
      </c>
      <c r="Q83" s="101"/>
    </row>
    <row r="84" spans="1:17" x14ac:dyDescent="0.35">
      <c r="A84" s="119" t="s">
        <v>976</v>
      </c>
      <c r="B84" s="96">
        <v>41</v>
      </c>
      <c r="C84" s="96" t="s">
        <v>1233</v>
      </c>
      <c r="D84" s="100"/>
      <c r="E84" s="96">
        <v>41</v>
      </c>
      <c r="F84" s="96" t="s">
        <v>1234</v>
      </c>
      <c r="G84" s="97"/>
      <c r="H84" s="96">
        <v>38</v>
      </c>
      <c r="I84" s="96" t="s">
        <v>1231</v>
      </c>
      <c r="J84" s="100"/>
      <c r="K84" s="101"/>
      <c r="L84" s="102"/>
      <c r="M84" s="101"/>
      <c r="N84" s="102"/>
      <c r="O84" s="101"/>
      <c r="P84" s="101"/>
      <c r="Q84" s="101"/>
    </row>
    <row r="85" spans="1:17" x14ac:dyDescent="0.35">
      <c r="A85" s="119" t="s">
        <v>4</v>
      </c>
      <c r="B85" s="96">
        <v>62</v>
      </c>
      <c r="C85" s="96" t="s">
        <v>1235</v>
      </c>
      <c r="D85" s="97">
        <v>0.27500000000000002</v>
      </c>
      <c r="E85" s="96">
        <v>61</v>
      </c>
      <c r="F85" s="99" t="s">
        <v>628</v>
      </c>
      <c r="G85" s="97">
        <v>0.93600000000000005</v>
      </c>
      <c r="H85" s="96">
        <v>59</v>
      </c>
      <c r="I85" s="96" t="s">
        <v>1236</v>
      </c>
      <c r="J85" s="97">
        <v>0.95299999999999996</v>
      </c>
      <c r="K85" s="99" t="s">
        <v>1237</v>
      </c>
      <c r="L85" s="97">
        <v>0.40799999999999997</v>
      </c>
      <c r="M85" s="96" t="s">
        <v>1238</v>
      </c>
      <c r="N85" s="97">
        <v>0.41899999999999998</v>
      </c>
      <c r="O85" s="99">
        <f>(2.54/2.58)/(2.79/2.89)</f>
        <v>1.0197827234586423</v>
      </c>
      <c r="P85" s="99">
        <f>(2.24/2.46)/(2.23/2.64)</f>
        <v>1.0779831565131797</v>
      </c>
      <c r="Q85" s="101"/>
    </row>
    <row r="86" spans="1:17" x14ac:dyDescent="0.35">
      <c r="A86" s="119" t="s">
        <v>1008</v>
      </c>
      <c r="B86" s="96">
        <v>48</v>
      </c>
      <c r="C86" s="96" t="s">
        <v>1239</v>
      </c>
      <c r="D86" s="100"/>
      <c r="E86" s="96">
        <v>48</v>
      </c>
      <c r="F86" s="96" t="s">
        <v>1240</v>
      </c>
      <c r="G86" s="97"/>
      <c r="H86" s="96">
        <v>48</v>
      </c>
      <c r="I86" s="96" t="s">
        <v>1241</v>
      </c>
      <c r="J86" s="104"/>
      <c r="K86" s="101"/>
      <c r="L86" s="102"/>
      <c r="M86" s="101"/>
      <c r="N86" s="102"/>
      <c r="O86" s="101"/>
      <c r="P86" s="101"/>
      <c r="Q86" s="101"/>
    </row>
    <row r="87" spans="1:17" x14ac:dyDescent="0.35">
      <c r="A87" s="119" t="s">
        <v>1012</v>
      </c>
      <c r="B87" s="96">
        <v>39</v>
      </c>
      <c r="C87" s="96" t="s">
        <v>1241</v>
      </c>
      <c r="D87" s="97">
        <v>0.223</v>
      </c>
      <c r="E87" s="96">
        <v>38</v>
      </c>
      <c r="F87" s="96" t="s">
        <v>1200</v>
      </c>
      <c r="G87" s="97">
        <v>0.51</v>
      </c>
      <c r="H87" s="96">
        <v>38</v>
      </c>
      <c r="I87" s="96" t="s">
        <v>1242</v>
      </c>
      <c r="J87" s="97">
        <v>0.438</v>
      </c>
      <c r="K87" s="96" t="s">
        <v>1243</v>
      </c>
      <c r="L87" s="97">
        <v>0.69399999999999995</v>
      </c>
      <c r="M87" s="96" t="s">
        <v>1244</v>
      </c>
      <c r="N87" s="97">
        <v>0.751</v>
      </c>
      <c r="O87" s="99">
        <f>(2.26/2.23)/(2.39/2.47)</f>
        <v>1.0473760249169746</v>
      </c>
      <c r="P87" s="99">
        <f>(2.07/2.23)/(2.22/2.47)</f>
        <v>1.0327839049812142</v>
      </c>
      <c r="Q87" s="101"/>
    </row>
    <row r="88" spans="1:17" x14ac:dyDescent="0.35">
      <c r="A88" s="119" t="s">
        <v>974</v>
      </c>
      <c r="B88" s="96">
        <v>30</v>
      </c>
      <c r="C88" s="96" t="s">
        <v>1245</v>
      </c>
      <c r="D88" s="104"/>
      <c r="E88" s="96">
        <v>30</v>
      </c>
      <c r="F88" s="96" t="s">
        <v>1246</v>
      </c>
      <c r="G88" s="97"/>
      <c r="H88" s="96">
        <v>31</v>
      </c>
      <c r="I88" s="96" t="s">
        <v>1247</v>
      </c>
      <c r="J88" s="104"/>
      <c r="K88" s="101"/>
      <c r="L88" s="102"/>
      <c r="M88" s="101"/>
      <c r="N88" s="102"/>
      <c r="O88" s="101"/>
      <c r="P88" s="101"/>
      <c r="Q88" s="101"/>
    </row>
    <row r="89" spans="1:17" x14ac:dyDescent="0.35">
      <c r="A89" s="103" t="s">
        <v>1504</v>
      </c>
      <c r="B89" s="96"/>
      <c r="C89" s="101"/>
      <c r="D89" s="104"/>
      <c r="E89" s="96"/>
      <c r="F89" s="101"/>
      <c r="G89" s="97"/>
      <c r="H89" s="96">
        <v>31</v>
      </c>
      <c r="I89" s="101"/>
      <c r="J89" s="104"/>
      <c r="K89" s="101"/>
      <c r="L89" s="102"/>
      <c r="M89" s="101"/>
      <c r="N89" s="102"/>
      <c r="O89" s="101"/>
      <c r="P89" s="101"/>
      <c r="Q89" s="101"/>
    </row>
    <row r="90" spans="1:17" x14ac:dyDescent="0.35">
      <c r="A90" s="119" t="s">
        <v>5</v>
      </c>
      <c r="B90" s="96">
        <v>30</v>
      </c>
      <c r="C90" s="96" t="s">
        <v>1248</v>
      </c>
      <c r="D90" s="97">
        <v>0.747</v>
      </c>
      <c r="E90" s="96">
        <v>30</v>
      </c>
      <c r="F90" s="96" t="s">
        <v>1249</v>
      </c>
      <c r="G90" s="97">
        <v>0.502</v>
      </c>
      <c r="H90" s="96">
        <v>30</v>
      </c>
      <c r="I90" s="96" t="s">
        <v>1250</v>
      </c>
      <c r="J90" s="97">
        <v>0.40500000000000003</v>
      </c>
      <c r="K90" s="98" t="s">
        <v>1251</v>
      </c>
      <c r="L90" s="97">
        <v>0.48199999999999998</v>
      </c>
      <c r="M90" s="98" t="s">
        <v>1252</v>
      </c>
      <c r="N90" s="97">
        <v>0.41399999999999998</v>
      </c>
      <c r="O90" s="99">
        <f>(2.63/2.74)/(2.8/2.66)</f>
        <v>0.91186131386861313</v>
      </c>
      <c r="P90" s="99">
        <f>(2.19/2.74)/(2.4/2.66)</f>
        <v>0.8858576642335767</v>
      </c>
      <c r="Q90" s="101"/>
    </row>
    <row r="91" spans="1:17" x14ac:dyDescent="0.35">
      <c r="A91" s="119" t="s">
        <v>976</v>
      </c>
      <c r="B91" s="96">
        <v>25</v>
      </c>
      <c r="C91" s="96" t="s">
        <v>1253</v>
      </c>
      <c r="D91" s="100"/>
      <c r="E91" s="96">
        <v>25</v>
      </c>
      <c r="F91" s="99" t="s">
        <v>1254</v>
      </c>
      <c r="G91" s="97"/>
      <c r="H91" s="96">
        <v>25</v>
      </c>
      <c r="I91" s="99" t="s">
        <v>1255</v>
      </c>
      <c r="J91" s="100"/>
      <c r="K91" s="101"/>
      <c r="L91" s="102"/>
      <c r="M91" s="101"/>
      <c r="N91" s="102"/>
      <c r="O91" s="101"/>
      <c r="P91" s="101"/>
      <c r="Q91" s="101"/>
    </row>
    <row r="92" spans="1:17" x14ac:dyDescent="0.35">
      <c r="A92" s="119" t="s">
        <v>4</v>
      </c>
      <c r="B92" s="96">
        <v>26</v>
      </c>
      <c r="C92" s="96" t="s">
        <v>1256</v>
      </c>
      <c r="D92" s="97">
        <v>0.157</v>
      </c>
      <c r="E92" s="96">
        <v>26</v>
      </c>
      <c r="F92" s="96" t="s">
        <v>1257</v>
      </c>
      <c r="G92" s="97">
        <v>0.312</v>
      </c>
      <c r="H92" s="96">
        <v>26</v>
      </c>
      <c r="I92" s="96" t="s">
        <v>1258</v>
      </c>
      <c r="J92" s="97">
        <v>0.14599999999999999</v>
      </c>
      <c r="K92" s="96" t="s">
        <v>1259</v>
      </c>
      <c r="L92" s="97">
        <v>0.77500000000000002</v>
      </c>
      <c r="M92" s="98" t="s">
        <v>1260</v>
      </c>
      <c r="N92" s="97">
        <v>0.97699999999999998</v>
      </c>
      <c r="O92" s="99">
        <f>(2.51/2.42)/(2.74/2.75)</f>
        <v>1.0409754479097544</v>
      </c>
      <c r="P92" s="99">
        <f>(2.11/2.42)/(2.45/2.75)</f>
        <v>0.97866419294990714</v>
      </c>
      <c r="Q92" s="101"/>
    </row>
    <row r="93" spans="1:17" x14ac:dyDescent="0.35">
      <c r="A93" s="119" t="s">
        <v>1008</v>
      </c>
      <c r="B93" s="96">
        <v>39</v>
      </c>
      <c r="C93" s="96" t="s">
        <v>1261</v>
      </c>
      <c r="D93" s="100"/>
      <c r="E93" s="96">
        <v>39</v>
      </c>
      <c r="F93" s="96" t="s">
        <v>1207</v>
      </c>
      <c r="G93" s="97"/>
      <c r="H93" s="96">
        <v>39</v>
      </c>
      <c r="I93" s="96" t="s">
        <v>1262</v>
      </c>
      <c r="J93" s="100"/>
      <c r="K93" s="101"/>
      <c r="L93" s="102"/>
      <c r="M93" s="101"/>
      <c r="N93" s="102"/>
      <c r="O93" s="101"/>
      <c r="P93" s="101"/>
      <c r="Q93" s="101"/>
    </row>
    <row r="94" spans="1:17" x14ac:dyDescent="0.35">
      <c r="A94" s="119" t="s">
        <v>1012</v>
      </c>
      <c r="B94" s="96">
        <v>16</v>
      </c>
      <c r="C94" s="96" t="s">
        <v>1263</v>
      </c>
      <c r="D94" s="97">
        <v>0.443</v>
      </c>
      <c r="E94" s="96">
        <v>16</v>
      </c>
      <c r="F94" s="96" t="s">
        <v>1264</v>
      </c>
      <c r="G94" s="97">
        <v>0.49299999999999999</v>
      </c>
      <c r="H94" s="96">
        <v>16</v>
      </c>
      <c r="I94" s="96" t="s">
        <v>1265</v>
      </c>
      <c r="J94" s="97">
        <v>0.33900000000000002</v>
      </c>
      <c r="K94" s="96" t="s">
        <v>1266</v>
      </c>
      <c r="L94" s="97">
        <v>0.95399999999999996</v>
      </c>
      <c r="M94" s="98" t="s">
        <v>1267</v>
      </c>
      <c r="N94" s="97">
        <v>0.89300000000000002</v>
      </c>
      <c r="O94" s="99">
        <f>(2.43/2.47)/(2.63/2.69)</f>
        <v>1.0062499037884269</v>
      </c>
      <c r="P94" s="99">
        <f>(2.09/2.47)/(2.37/2.69)</f>
        <v>0.96040246673158047</v>
      </c>
      <c r="Q94" s="101"/>
    </row>
    <row r="95" spans="1:17" x14ac:dyDescent="0.35">
      <c r="A95" s="119" t="s">
        <v>974</v>
      </c>
      <c r="B95" s="96">
        <v>24</v>
      </c>
      <c r="C95" s="96" t="s">
        <v>1268</v>
      </c>
      <c r="D95" s="100"/>
      <c r="E95" s="96">
        <v>24</v>
      </c>
      <c r="F95" s="96" t="s">
        <v>1269</v>
      </c>
      <c r="G95" s="100"/>
      <c r="H95" s="96">
        <v>24</v>
      </c>
      <c r="I95" s="96" t="s">
        <v>1270</v>
      </c>
      <c r="J95" s="100"/>
      <c r="K95" s="101"/>
      <c r="L95" s="104"/>
      <c r="M95" s="101"/>
      <c r="N95" s="104"/>
      <c r="O95" s="101"/>
      <c r="P95" s="101"/>
      <c r="Q95" s="101"/>
    </row>
    <row r="96" spans="1:17" x14ac:dyDescent="0.35">
      <c r="A96" s="90" t="s">
        <v>1513</v>
      </c>
      <c r="B96" s="96"/>
      <c r="C96" s="96"/>
      <c r="D96" s="100"/>
      <c r="E96" s="96"/>
      <c r="F96" s="96"/>
      <c r="G96" s="100"/>
      <c r="H96" s="96"/>
      <c r="I96" s="96"/>
      <c r="J96" s="100"/>
      <c r="K96" s="101"/>
      <c r="L96" s="104"/>
      <c r="M96" s="101"/>
      <c r="N96" s="104"/>
      <c r="O96" s="101"/>
      <c r="P96" s="101"/>
      <c r="Q96" s="101"/>
    </row>
    <row r="97" spans="1:17" x14ac:dyDescent="0.35">
      <c r="A97" s="103" t="s">
        <v>1502</v>
      </c>
      <c r="B97" s="96"/>
      <c r="C97" s="96"/>
      <c r="D97" s="100"/>
      <c r="E97" s="96"/>
      <c r="F97" s="96"/>
      <c r="G97" s="100"/>
      <c r="H97" s="96"/>
      <c r="I97" s="96"/>
      <c r="J97" s="97"/>
      <c r="K97" s="98"/>
      <c r="L97" s="100"/>
      <c r="M97" s="98"/>
      <c r="N97" s="100"/>
      <c r="O97" s="99"/>
      <c r="P97" s="99"/>
      <c r="Q97" s="101"/>
    </row>
    <row r="98" spans="1:17" x14ac:dyDescent="0.35">
      <c r="A98" s="119" t="s">
        <v>5</v>
      </c>
      <c r="B98" s="96">
        <v>39</v>
      </c>
      <c r="C98" s="96" t="s">
        <v>1271</v>
      </c>
      <c r="D98" s="100">
        <v>0.23</v>
      </c>
      <c r="E98" s="96">
        <v>39</v>
      </c>
      <c r="F98" s="96" t="s">
        <v>1230</v>
      </c>
      <c r="G98" s="100">
        <v>0.15</v>
      </c>
      <c r="H98" s="96">
        <v>39</v>
      </c>
      <c r="I98" s="96" t="s">
        <v>1272</v>
      </c>
      <c r="J98" s="100">
        <v>0.11</v>
      </c>
      <c r="K98" s="98" t="s">
        <v>1273</v>
      </c>
      <c r="L98" s="100">
        <v>0.86</v>
      </c>
      <c r="M98" s="105" t="s">
        <v>1274</v>
      </c>
      <c r="N98" s="100">
        <v>0.78</v>
      </c>
      <c r="O98" s="99">
        <f>(2.54/2.59)/(2.82/2.82)</f>
        <v>0.98069498069498073</v>
      </c>
      <c r="P98" s="99">
        <f>((2.13/2.59)/(2.45/2.82))</f>
        <v>0.94659207312268534</v>
      </c>
      <c r="Q98" s="101"/>
    </row>
    <row r="99" spans="1:17" x14ac:dyDescent="0.35">
      <c r="A99" s="119" t="s">
        <v>976</v>
      </c>
      <c r="B99" s="96">
        <v>44</v>
      </c>
      <c r="C99" s="96" t="s">
        <v>1275</v>
      </c>
      <c r="D99" s="100"/>
      <c r="E99" s="96">
        <v>44</v>
      </c>
      <c r="F99" s="96" t="s">
        <v>1275</v>
      </c>
      <c r="G99" s="100"/>
      <c r="H99" s="96">
        <v>44</v>
      </c>
      <c r="I99" s="96" t="s">
        <v>1276</v>
      </c>
      <c r="J99" s="100"/>
      <c r="K99" s="96"/>
      <c r="L99" s="100"/>
      <c r="M99" s="96"/>
      <c r="N99" s="97"/>
      <c r="O99" s="99"/>
      <c r="P99" s="99"/>
      <c r="Q99" s="101"/>
    </row>
    <row r="100" spans="1:17" x14ac:dyDescent="0.35">
      <c r="A100" s="119" t="s">
        <v>4</v>
      </c>
      <c r="B100" s="96">
        <v>50</v>
      </c>
      <c r="C100" s="96" t="s">
        <v>1277</v>
      </c>
      <c r="D100" s="100">
        <v>0.32</v>
      </c>
      <c r="E100" s="96">
        <v>50</v>
      </c>
      <c r="F100" s="96" t="s">
        <v>1278</v>
      </c>
      <c r="G100" s="97">
        <v>0.8</v>
      </c>
      <c r="H100" s="96">
        <v>50</v>
      </c>
      <c r="I100" s="96" t="s">
        <v>1279</v>
      </c>
      <c r="J100" s="97">
        <v>0.8</v>
      </c>
      <c r="K100" s="98" t="s">
        <v>1280</v>
      </c>
      <c r="L100" s="100">
        <v>0.38</v>
      </c>
      <c r="M100" s="98" t="s">
        <v>1281</v>
      </c>
      <c r="N100" s="100">
        <v>0.37</v>
      </c>
      <c r="O100" s="99">
        <f>(2.65/2.57)/(2.6/2.75)</f>
        <v>1.0906165818617182</v>
      </c>
      <c r="P100" s="99">
        <f>(2.34/2.57)/(2.3/2.75)</f>
        <v>1.08864828286246</v>
      </c>
      <c r="Q100" s="101"/>
    </row>
    <row r="101" spans="1:17" x14ac:dyDescent="0.35">
      <c r="A101" s="119" t="s">
        <v>1008</v>
      </c>
      <c r="B101" s="96">
        <v>46</v>
      </c>
      <c r="C101" s="96" t="s">
        <v>426</v>
      </c>
      <c r="D101" s="100"/>
      <c r="E101" s="96">
        <v>47</v>
      </c>
      <c r="F101" s="96" t="s">
        <v>1282</v>
      </c>
      <c r="G101" s="100"/>
      <c r="H101" s="96">
        <v>47</v>
      </c>
      <c r="I101" s="96" t="s">
        <v>1283</v>
      </c>
      <c r="J101" s="97"/>
      <c r="K101" s="96"/>
      <c r="L101" s="100"/>
      <c r="M101" s="96"/>
      <c r="N101" s="100"/>
      <c r="O101" s="99"/>
      <c r="P101" s="99"/>
      <c r="Q101" s="101"/>
    </row>
    <row r="102" spans="1:17" x14ac:dyDescent="0.35">
      <c r="A102" s="119" t="s">
        <v>1012</v>
      </c>
      <c r="B102" s="96">
        <v>28</v>
      </c>
      <c r="C102" s="96" t="s">
        <v>1284</v>
      </c>
      <c r="D102" s="100">
        <v>0.97</v>
      </c>
      <c r="E102" s="96">
        <v>28</v>
      </c>
      <c r="F102" s="96" t="s">
        <v>1285</v>
      </c>
      <c r="G102" s="100">
        <v>0.87</v>
      </c>
      <c r="H102" s="96">
        <v>28</v>
      </c>
      <c r="I102" s="96" t="s">
        <v>1286</v>
      </c>
      <c r="J102" s="97">
        <v>0.9</v>
      </c>
      <c r="K102" s="98" t="s">
        <v>1287</v>
      </c>
      <c r="L102" s="100">
        <v>0.93</v>
      </c>
      <c r="M102" s="98" t="s">
        <v>1288</v>
      </c>
      <c r="N102" s="97">
        <v>0.9</v>
      </c>
      <c r="O102" s="99">
        <f>(2.49/2.51)/(2.45/2.5)</f>
        <v>1.0122774209285308</v>
      </c>
      <c r="P102" s="99">
        <f>(2.2/2.51)/(2.23/2.5)</f>
        <v>0.98261661872688633</v>
      </c>
      <c r="Q102" s="101"/>
    </row>
    <row r="103" spans="1:17" x14ac:dyDescent="0.35">
      <c r="A103" s="119" t="s">
        <v>974</v>
      </c>
      <c r="B103" s="96">
        <v>24</v>
      </c>
      <c r="C103" s="96" t="s">
        <v>1289</v>
      </c>
      <c r="D103" s="100"/>
      <c r="E103" s="96">
        <v>25</v>
      </c>
      <c r="F103" s="96" t="s">
        <v>1205</v>
      </c>
      <c r="G103" s="100"/>
      <c r="H103" s="96">
        <v>25</v>
      </c>
      <c r="I103" s="101" t="s">
        <v>1290</v>
      </c>
      <c r="J103" s="100"/>
      <c r="K103" s="101"/>
      <c r="L103" s="104"/>
      <c r="M103" s="101"/>
      <c r="N103" s="104"/>
      <c r="O103" s="96"/>
      <c r="P103" s="96"/>
      <c r="Q103" s="101"/>
    </row>
    <row r="104" spans="1:17" x14ac:dyDescent="0.35">
      <c r="A104" s="103" t="s">
        <v>1503</v>
      </c>
      <c r="B104" s="96"/>
      <c r="C104" s="96"/>
      <c r="D104" s="100"/>
      <c r="E104" s="96"/>
      <c r="F104" s="96"/>
      <c r="G104" s="100"/>
      <c r="H104" s="96"/>
      <c r="I104" s="96"/>
      <c r="J104" s="100"/>
      <c r="K104" s="98"/>
      <c r="L104" s="100"/>
      <c r="M104" s="98"/>
      <c r="N104" s="100"/>
      <c r="O104" s="99"/>
      <c r="P104" s="99"/>
      <c r="Q104" s="101"/>
    </row>
    <row r="105" spans="1:17" x14ac:dyDescent="0.35">
      <c r="A105" s="119" t="s">
        <v>5</v>
      </c>
      <c r="B105" s="96">
        <v>30</v>
      </c>
      <c r="C105" s="96" t="s">
        <v>1291</v>
      </c>
      <c r="D105" s="100">
        <v>0.93</v>
      </c>
      <c r="E105" s="96">
        <v>30</v>
      </c>
      <c r="F105" s="96" t="s">
        <v>1269</v>
      </c>
      <c r="G105" s="97">
        <v>0.65</v>
      </c>
      <c r="H105" s="96">
        <v>29</v>
      </c>
      <c r="I105" s="96" t="s">
        <v>1292</v>
      </c>
      <c r="J105" s="100">
        <v>0.98</v>
      </c>
      <c r="K105" s="98" t="s">
        <v>1293</v>
      </c>
      <c r="L105" s="97">
        <v>0.8</v>
      </c>
      <c r="M105" s="98" t="s">
        <v>496</v>
      </c>
      <c r="N105" s="100">
        <v>0.94</v>
      </c>
      <c r="O105" s="99">
        <f>(2.63/2.73)/(2.75/2.75)</f>
        <v>0.96336996336996339</v>
      </c>
      <c r="P105" s="99">
        <f>(2.32/2.73)/(2.32/2.75)</f>
        <v>1.0073260073260073</v>
      </c>
      <c r="Q105" s="101"/>
    </row>
    <row r="106" spans="1:17" x14ac:dyDescent="0.35">
      <c r="A106" s="119" t="s">
        <v>976</v>
      </c>
      <c r="B106" s="96">
        <v>22</v>
      </c>
      <c r="C106" s="96" t="s">
        <v>1294</v>
      </c>
      <c r="D106" s="100"/>
      <c r="E106" s="96">
        <v>22</v>
      </c>
      <c r="F106" s="96" t="s">
        <v>1294</v>
      </c>
      <c r="G106" s="100"/>
      <c r="H106" s="96">
        <v>19</v>
      </c>
      <c r="I106" s="96" t="s">
        <v>1295</v>
      </c>
      <c r="J106" s="100"/>
      <c r="K106" s="96"/>
      <c r="L106" s="100"/>
      <c r="M106" s="96"/>
      <c r="N106" s="100"/>
      <c r="O106" s="99"/>
      <c r="P106" s="99"/>
      <c r="Q106" s="101"/>
    </row>
    <row r="107" spans="1:17" ht="16" customHeight="1" x14ac:dyDescent="0.35">
      <c r="A107" s="119" t="s">
        <v>4</v>
      </c>
      <c r="B107" s="96">
        <v>38</v>
      </c>
      <c r="C107" s="96" t="s">
        <v>1296</v>
      </c>
      <c r="D107" s="100">
        <v>0.09</v>
      </c>
      <c r="E107" s="96">
        <v>37</v>
      </c>
      <c r="F107" s="96" t="s">
        <v>1297</v>
      </c>
      <c r="G107" s="100">
        <v>0.15</v>
      </c>
      <c r="H107" s="96">
        <v>35</v>
      </c>
      <c r="I107" s="96" t="s">
        <v>1298</v>
      </c>
      <c r="J107" s="100">
        <v>7.0000000000000007E-2</v>
      </c>
      <c r="K107" s="96" t="s">
        <v>1299</v>
      </c>
      <c r="L107" s="100">
        <v>0.88</v>
      </c>
      <c r="M107" s="98" t="s">
        <v>1300</v>
      </c>
      <c r="N107" s="100">
        <v>0.91</v>
      </c>
      <c r="O107" s="99">
        <f>(2.31/2.3)/(2.6/2.63)</f>
        <v>1.0159364548494985</v>
      </c>
      <c r="P107" s="99">
        <f>(2/2.3)/(2.36/2.63)</f>
        <v>0.9690493736182757</v>
      </c>
      <c r="Q107" s="101"/>
    </row>
    <row r="108" spans="1:17" ht="16" customHeight="1" x14ac:dyDescent="0.35">
      <c r="A108" s="119" t="s">
        <v>1008</v>
      </c>
      <c r="B108" s="96">
        <v>41</v>
      </c>
      <c r="C108" s="96" t="s">
        <v>1301</v>
      </c>
      <c r="D108" s="100"/>
      <c r="E108" s="96">
        <v>40</v>
      </c>
      <c r="F108" s="96" t="s">
        <v>1302</v>
      </c>
      <c r="G108" s="100"/>
      <c r="H108" s="96">
        <v>40</v>
      </c>
      <c r="I108" s="96" t="s">
        <v>1303</v>
      </c>
      <c r="J108" s="100"/>
      <c r="K108" s="96"/>
      <c r="L108" s="100"/>
      <c r="M108" s="96"/>
      <c r="N108" s="100"/>
      <c r="O108" s="99"/>
      <c r="P108" s="99"/>
      <c r="Q108" s="101"/>
    </row>
    <row r="109" spans="1:17" ht="16" customHeight="1" x14ac:dyDescent="0.35">
      <c r="A109" s="119" t="s">
        <v>1012</v>
      </c>
      <c r="B109" s="96">
        <v>27</v>
      </c>
      <c r="C109" s="96" t="s">
        <v>1304</v>
      </c>
      <c r="D109" s="100">
        <v>0.03</v>
      </c>
      <c r="E109" s="96">
        <v>26</v>
      </c>
      <c r="F109" s="96" t="s">
        <v>1305</v>
      </c>
      <c r="G109" s="100">
        <v>0.06</v>
      </c>
      <c r="H109" s="96">
        <v>26</v>
      </c>
      <c r="I109" s="96" t="s">
        <v>1306</v>
      </c>
      <c r="J109" s="100">
        <v>0.08</v>
      </c>
      <c r="K109" s="98" t="s">
        <v>533</v>
      </c>
      <c r="L109" s="100">
        <v>0.68</v>
      </c>
      <c r="M109" s="98" t="s">
        <v>1307</v>
      </c>
      <c r="N109" s="100">
        <v>0.62</v>
      </c>
      <c r="O109" s="99">
        <f>(2.12/2.08)/(2.54/2.62)</f>
        <v>1.0513325257419746</v>
      </c>
      <c r="P109" s="99">
        <f>(1.94/2.08)/(1.94/2.62)</f>
        <v>1.2596153846153846</v>
      </c>
      <c r="Q109" s="101"/>
    </row>
    <row r="110" spans="1:17" ht="16" customHeight="1" x14ac:dyDescent="0.35">
      <c r="A110" s="119" t="s">
        <v>974</v>
      </c>
      <c r="B110" s="96">
        <v>30</v>
      </c>
      <c r="C110" s="99" t="s">
        <v>1308</v>
      </c>
      <c r="D110" s="100"/>
      <c r="E110" s="96">
        <v>29</v>
      </c>
      <c r="F110" s="96" t="s">
        <v>1309</v>
      </c>
      <c r="G110" s="100"/>
      <c r="H110" s="96">
        <v>30</v>
      </c>
      <c r="I110" s="96" t="s">
        <v>1306</v>
      </c>
      <c r="J110" s="100"/>
      <c r="K110" s="101"/>
      <c r="L110" s="104"/>
      <c r="M110" s="101"/>
      <c r="N110" s="104"/>
      <c r="O110" s="99"/>
      <c r="P110" s="99"/>
      <c r="Q110" s="101"/>
    </row>
    <row r="111" spans="1:17" x14ac:dyDescent="0.35">
      <c r="A111" s="90" t="s">
        <v>1508</v>
      </c>
      <c r="B111" s="96"/>
      <c r="C111" s="96"/>
      <c r="D111" s="100"/>
      <c r="E111" s="96"/>
      <c r="F111" s="96"/>
      <c r="G111" s="100"/>
      <c r="H111" s="96"/>
      <c r="I111" s="96"/>
      <c r="J111" s="100"/>
      <c r="K111" s="101"/>
      <c r="L111" s="104"/>
      <c r="M111" s="101"/>
      <c r="N111" s="104"/>
      <c r="O111" s="99"/>
      <c r="P111" s="99"/>
      <c r="Q111" s="101"/>
    </row>
    <row r="112" spans="1:17" x14ac:dyDescent="0.35">
      <c r="A112" s="103" t="s">
        <v>1509</v>
      </c>
      <c r="B112" s="96"/>
      <c r="C112" s="96"/>
      <c r="D112" s="100"/>
      <c r="E112" s="96"/>
      <c r="F112" s="96"/>
      <c r="G112" s="100"/>
      <c r="H112" s="96"/>
      <c r="I112" s="96"/>
      <c r="J112" s="100"/>
      <c r="K112" s="101"/>
      <c r="L112" s="104"/>
      <c r="M112" s="101"/>
      <c r="N112" s="104"/>
      <c r="O112" s="99"/>
      <c r="P112" s="99"/>
      <c r="Q112" s="101"/>
    </row>
    <row r="113" spans="1:17" x14ac:dyDescent="0.35">
      <c r="A113" s="119" t="s">
        <v>5</v>
      </c>
      <c r="B113" s="96">
        <v>34</v>
      </c>
      <c r="C113" s="96" t="s">
        <v>1310</v>
      </c>
      <c r="D113" s="97">
        <v>0.124</v>
      </c>
      <c r="E113" s="96">
        <v>34</v>
      </c>
      <c r="F113" s="96" t="s">
        <v>1311</v>
      </c>
      <c r="G113" s="100">
        <v>0.03</v>
      </c>
      <c r="H113" s="96">
        <v>34</v>
      </c>
      <c r="I113" s="96" t="s">
        <v>1224</v>
      </c>
      <c r="J113" s="100">
        <v>0.14000000000000001</v>
      </c>
      <c r="K113" s="98" t="s">
        <v>1312</v>
      </c>
      <c r="L113" s="97">
        <v>0.65200000000000002</v>
      </c>
      <c r="M113" s="96" t="s">
        <v>1313</v>
      </c>
      <c r="N113" s="97">
        <v>0.97699999999999998</v>
      </c>
      <c r="O113" s="99">
        <f>(2.45/2.55)/(2.94/2.89)</f>
        <v>0.94444444444444453</v>
      </c>
      <c r="P113" s="99">
        <f>(2.17/2.55)/(2.51/2.89)</f>
        <v>0.9798140770252326</v>
      </c>
      <c r="Q113" s="101"/>
    </row>
    <row r="114" spans="1:17" x14ac:dyDescent="0.35">
      <c r="A114" s="119" t="s">
        <v>976</v>
      </c>
      <c r="B114" s="96">
        <v>37</v>
      </c>
      <c r="C114" s="96" t="s">
        <v>281</v>
      </c>
      <c r="D114" s="100"/>
      <c r="E114" s="96">
        <v>37</v>
      </c>
      <c r="F114" s="96" t="s">
        <v>1314</v>
      </c>
      <c r="G114" s="100"/>
      <c r="H114" s="96">
        <v>35</v>
      </c>
      <c r="I114" s="96" t="s">
        <v>1284</v>
      </c>
      <c r="J114" s="100"/>
      <c r="K114" s="101"/>
      <c r="L114" s="102"/>
      <c r="M114" s="101"/>
      <c r="N114" s="102"/>
      <c r="O114" s="99"/>
      <c r="P114" s="99"/>
      <c r="Q114" s="101"/>
    </row>
    <row r="115" spans="1:17" ht="16" customHeight="1" x14ac:dyDescent="0.35">
      <c r="A115" s="119" t="s">
        <v>4</v>
      </c>
      <c r="B115" s="96">
        <v>37</v>
      </c>
      <c r="C115" s="96" t="s">
        <v>1315</v>
      </c>
      <c r="D115" s="97">
        <v>0.22800000000000001</v>
      </c>
      <c r="E115" s="96">
        <v>37</v>
      </c>
      <c r="F115" s="96" t="s">
        <v>1316</v>
      </c>
      <c r="G115" s="97">
        <v>0.66900000000000004</v>
      </c>
      <c r="H115" s="96">
        <v>36</v>
      </c>
      <c r="I115" s="96" t="s">
        <v>1247</v>
      </c>
      <c r="J115" s="97">
        <v>0.5</v>
      </c>
      <c r="K115" s="96" t="s">
        <v>1317</v>
      </c>
      <c r="L115" s="97">
        <v>0.58299999999999996</v>
      </c>
      <c r="M115" s="96" t="s">
        <v>1318</v>
      </c>
      <c r="N115" s="97">
        <v>0.71199999999999997</v>
      </c>
      <c r="O115" s="99">
        <f>(2.56/2.5)/(2.65/2.74)</f>
        <v>1.0587773584905662</v>
      </c>
      <c r="P115" s="99">
        <f>(2.22/2.5)/(2.35/2.74)</f>
        <v>1.0353702127659576</v>
      </c>
      <c r="Q115" s="101"/>
    </row>
    <row r="116" spans="1:17" ht="16" customHeight="1" x14ac:dyDescent="0.35">
      <c r="A116" s="119" t="s">
        <v>1008</v>
      </c>
      <c r="B116" s="96">
        <v>50</v>
      </c>
      <c r="C116" s="96" t="s">
        <v>1319</v>
      </c>
      <c r="D116" s="100"/>
      <c r="E116" s="96">
        <v>49</v>
      </c>
      <c r="F116" s="96" t="s">
        <v>1198</v>
      </c>
      <c r="G116" s="97"/>
      <c r="H116" s="96">
        <v>49</v>
      </c>
      <c r="I116" s="96" t="s">
        <v>1320</v>
      </c>
      <c r="J116" s="100"/>
      <c r="K116" s="101"/>
      <c r="L116" s="102"/>
      <c r="M116" s="101"/>
      <c r="N116" s="102"/>
      <c r="O116" s="99"/>
      <c r="P116" s="99"/>
      <c r="Q116" s="101"/>
    </row>
    <row r="117" spans="1:17" ht="16" customHeight="1" x14ac:dyDescent="0.35">
      <c r="A117" s="119" t="s">
        <v>1012</v>
      </c>
      <c r="B117" s="96">
        <v>20</v>
      </c>
      <c r="C117" s="96" t="s">
        <v>1321</v>
      </c>
      <c r="D117" s="97">
        <v>0.109</v>
      </c>
      <c r="E117" s="96">
        <v>20</v>
      </c>
      <c r="F117" s="96" t="s">
        <v>1322</v>
      </c>
      <c r="G117" s="97">
        <v>0.17399999999999999</v>
      </c>
      <c r="H117" s="96">
        <v>20</v>
      </c>
      <c r="I117" s="96" t="s">
        <v>1323</v>
      </c>
      <c r="J117" s="100">
        <v>0.24</v>
      </c>
      <c r="K117" s="96" t="s">
        <v>1324</v>
      </c>
      <c r="L117" s="97">
        <v>0.86899999999999999</v>
      </c>
      <c r="M117" s="96" t="s">
        <v>1325</v>
      </c>
      <c r="N117" s="97">
        <v>0.76200000000000001</v>
      </c>
      <c r="O117" s="99">
        <f>(2.17/2.22)/(2.5/2.6)</f>
        <v>1.0165765765765766</v>
      </c>
      <c r="P117" s="99">
        <f>(1.98/2.22)/(2.26/2.6)</f>
        <v>1.0260703181057163</v>
      </c>
      <c r="Q117" s="101"/>
    </row>
    <row r="118" spans="1:17" ht="16" customHeight="1" x14ac:dyDescent="0.35">
      <c r="A118" s="119" t="s">
        <v>974</v>
      </c>
      <c r="B118" s="96">
        <v>30</v>
      </c>
      <c r="C118" s="96" t="s">
        <v>1326</v>
      </c>
      <c r="D118" s="100"/>
      <c r="E118" s="96">
        <v>29</v>
      </c>
      <c r="F118" s="96" t="s">
        <v>1315</v>
      </c>
      <c r="G118" s="100"/>
      <c r="H118" s="96">
        <v>30</v>
      </c>
      <c r="I118" s="96" t="s">
        <v>1327</v>
      </c>
      <c r="J118" s="100"/>
      <c r="K118" s="96"/>
      <c r="L118" s="102"/>
      <c r="M118" s="101"/>
      <c r="N118" s="104"/>
      <c r="O118" s="99"/>
      <c r="P118" s="99"/>
      <c r="Q118" s="101"/>
    </row>
    <row r="119" spans="1:17" x14ac:dyDescent="0.35">
      <c r="A119" s="103" t="s">
        <v>1510</v>
      </c>
      <c r="B119" s="96"/>
      <c r="C119" s="96"/>
      <c r="D119" s="100"/>
      <c r="E119" s="96"/>
      <c r="F119" s="96"/>
      <c r="G119" s="100"/>
      <c r="H119" s="96"/>
      <c r="I119" s="96"/>
      <c r="J119" s="100"/>
      <c r="K119" s="101"/>
      <c r="L119" s="102"/>
      <c r="M119" s="101"/>
      <c r="N119" s="104"/>
      <c r="O119" s="99"/>
      <c r="P119" s="99"/>
      <c r="Q119" s="101"/>
    </row>
    <row r="120" spans="1:17" x14ac:dyDescent="0.35">
      <c r="A120" s="119" t="s">
        <v>5</v>
      </c>
      <c r="B120" s="96">
        <v>35</v>
      </c>
      <c r="C120" s="96" t="s">
        <v>1261</v>
      </c>
      <c r="D120" s="97">
        <v>0.73399999999999999</v>
      </c>
      <c r="E120" s="96">
        <v>35</v>
      </c>
      <c r="F120" s="96" t="s">
        <v>1328</v>
      </c>
      <c r="G120" s="100">
        <v>0.67</v>
      </c>
      <c r="H120" s="96">
        <v>34</v>
      </c>
      <c r="I120" s="96" t="s">
        <v>1327</v>
      </c>
      <c r="J120" s="100">
        <v>0.94</v>
      </c>
      <c r="K120" s="96" t="s">
        <v>1329</v>
      </c>
      <c r="L120" s="97">
        <v>0.95199999999999996</v>
      </c>
      <c r="M120" s="98" t="s">
        <v>1330</v>
      </c>
      <c r="N120" s="100">
        <v>0.77</v>
      </c>
      <c r="O120" s="99">
        <f>(2.7/2.75)/(2.61/2.68)</f>
        <v>1.0081504702194359</v>
      </c>
      <c r="P120" s="99">
        <f>(2.26/2.75)/(2.28/2.68)</f>
        <v>0.96599681020733663</v>
      </c>
      <c r="Q120" s="101"/>
    </row>
    <row r="121" spans="1:17" x14ac:dyDescent="0.35">
      <c r="A121" s="119" t="s">
        <v>976</v>
      </c>
      <c r="B121" s="96">
        <v>29</v>
      </c>
      <c r="C121" s="96" t="s">
        <v>1331</v>
      </c>
      <c r="D121" s="100"/>
      <c r="E121" s="96">
        <v>29</v>
      </c>
      <c r="F121" s="96" t="s">
        <v>392</v>
      </c>
      <c r="G121" s="100"/>
      <c r="H121" s="96">
        <v>28</v>
      </c>
      <c r="I121" s="96" t="s">
        <v>1332</v>
      </c>
      <c r="J121" s="100"/>
      <c r="K121" s="101"/>
      <c r="L121" s="104"/>
      <c r="M121" s="101"/>
      <c r="N121" s="104"/>
      <c r="O121" s="99"/>
      <c r="P121" s="99"/>
      <c r="Q121" s="101"/>
    </row>
    <row r="122" spans="1:17" ht="16" customHeight="1" x14ac:dyDescent="0.35">
      <c r="A122" s="119" t="s">
        <v>4</v>
      </c>
      <c r="B122" s="96">
        <v>51</v>
      </c>
      <c r="C122" s="96" t="s">
        <v>1333</v>
      </c>
      <c r="D122" s="100">
        <v>0.25</v>
      </c>
      <c r="E122" s="96">
        <v>50</v>
      </c>
      <c r="F122" s="96" t="s">
        <v>1334</v>
      </c>
      <c r="G122" s="100">
        <v>0.66</v>
      </c>
      <c r="H122" s="96">
        <v>49</v>
      </c>
      <c r="I122" s="96" t="s">
        <v>1335</v>
      </c>
      <c r="J122" s="100">
        <v>0.56999999999999995</v>
      </c>
      <c r="K122" s="96" t="s">
        <v>1336</v>
      </c>
      <c r="L122" s="100">
        <v>0.61</v>
      </c>
      <c r="M122" s="96" t="s">
        <v>723</v>
      </c>
      <c r="N122" s="100">
        <v>0.68</v>
      </c>
      <c r="O122" s="99">
        <f>(2.46/2.42)/(2.54/2.63)</f>
        <v>1.0525476670788052</v>
      </c>
      <c r="P122" s="99">
        <f>(2.19/2.42)/(2.29/2.63)</f>
        <v>1.0393193547222923</v>
      </c>
      <c r="Q122" s="101"/>
    </row>
    <row r="123" spans="1:17" ht="16" customHeight="1" x14ac:dyDescent="0.35">
      <c r="A123" s="119" t="s">
        <v>1008</v>
      </c>
      <c r="B123" s="96">
        <v>37</v>
      </c>
      <c r="C123" s="96" t="s">
        <v>1301</v>
      </c>
      <c r="D123" s="100"/>
      <c r="E123" s="96">
        <v>38</v>
      </c>
      <c r="F123" s="96" t="s">
        <v>1230</v>
      </c>
      <c r="G123" s="100"/>
      <c r="H123" s="96">
        <v>38</v>
      </c>
      <c r="I123" s="96" t="s">
        <v>1216</v>
      </c>
      <c r="J123" s="100"/>
      <c r="K123" s="101"/>
      <c r="L123" s="104"/>
      <c r="M123" s="101"/>
      <c r="N123" s="104"/>
      <c r="O123" s="99"/>
      <c r="P123" s="99"/>
      <c r="Q123" s="101"/>
    </row>
    <row r="124" spans="1:17" ht="16" customHeight="1" x14ac:dyDescent="0.35">
      <c r="A124" s="119" t="s">
        <v>1012</v>
      </c>
      <c r="B124" s="96">
        <v>35</v>
      </c>
      <c r="C124" s="96" t="s">
        <v>1337</v>
      </c>
      <c r="D124" s="97">
        <v>0.42499999999999999</v>
      </c>
      <c r="E124" s="96">
        <v>34</v>
      </c>
      <c r="F124" s="96" t="s">
        <v>1246</v>
      </c>
      <c r="G124" s="97">
        <v>0.65200000000000002</v>
      </c>
      <c r="H124" s="96">
        <v>34</v>
      </c>
      <c r="I124" s="96" t="s">
        <v>386</v>
      </c>
      <c r="J124" s="97">
        <v>0.41699999999999998</v>
      </c>
      <c r="K124" s="96" t="s">
        <v>1338</v>
      </c>
      <c r="L124" s="97">
        <v>0.80400000000000005</v>
      </c>
      <c r="M124" s="98" t="s">
        <v>1339</v>
      </c>
      <c r="N124" s="97">
        <v>0.995</v>
      </c>
      <c r="O124" s="99">
        <f>(2.39/2.35)/(2.5/2.53)</f>
        <v>1.0292255319148935</v>
      </c>
      <c r="P124" s="99">
        <f>(2.13/2.35)/(2.32/2.53)</f>
        <v>0.98842626559060875</v>
      </c>
      <c r="Q124" s="101"/>
    </row>
    <row r="125" spans="1:17" ht="16" customHeight="1" x14ac:dyDescent="0.35">
      <c r="A125" s="119" t="s">
        <v>974</v>
      </c>
      <c r="B125" s="96">
        <v>24</v>
      </c>
      <c r="C125" s="96" t="s">
        <v>1340</v>
      </c>
      <c r="D125" s="100"/>
      <c r="E125" s="96">
        <v>25</v>
      </c>
      <c r="F125" s="96" t="s">
        <v>1289</v>
      </c>
      <c r="G125" s="97"/>
      <c r="H125" s="96">
        <v>25</v>
      </c>
      <c r="I125" s="96" t="s">
        <v>1341</v>
      </c>
      <c r="J125" s="100"/>
      <c r="K125" s="101"/>
      <c r="L125" s="104"/>
      <c r="M125" s="101"/>
      <c r="N125" s="104"/>
      <c r="O125" s="101"/>
      <c r="P125" s="101"/>
      <c r="Q125" s="101"/>
    </row>
    <row r="126" spans="1:17" ht="16" customHeight="1" x14ac:dyDescent="0.35">
      <c r="A126" s="91" t="s">
        <v>1342</v>
      </c>
      <c r="B126" s="96"/>
      <c r="C126" s="101"/>
      <c r="D126" s="104"/>
      <c r="E126" s="96"/>
      <c r="F126" s="101"/>
      <c r="G126" s="97"/>
      <c r="H126" s="96"/>
      <c r="I126" s="101"/>
      <c r="J126" s="104"/>
      <c r="K126" s="101"/>
      <c r="L126" s="104"/>
      <c r="M126" s="101"/>
      <c r="N126" s="104"/>
      <c r="O126" s="101"/>
      <c r="P126" s="101"/>
      <c r="Q126" s="101"/>
    </row>
    <row r="127" spans="1:17" ht="18.5" x14ac:dyDescent="0.35">
      <c r="A127" s="94" t="s">
        <v>1511</v>
      </c>
      <c r="B127" s="96"/>
      <c r="C127" s="101"/>
      <c r="D127" s="104"/>
      <c r="E127" s="96"/>
      <c r="F127" s="101"/>
      <c r="G127" s="97"/>
      <c r="H127" s="96"/>
      <c r="I127" s="101"/>
      <c r="J127" s="104"/>
      <c r="K127" s="101"/>
      <c r="L127" s="104"/>
      <c r="M127" s="101"/>
      <c r="N127" s="104"/>
      <c r="O127" s="101"/>
      <c r="P127" s="101"/>
      <c r="Q127" s="101"/>
    </row>
    <row r="128" spans="1:17" x14ac:dyDescent="0.35">
      <c r="A128" s="95" t="s">
        <v>1507</v>
      </c>
      <c r="B128" s="96"/>
      <c r="C128" s="101"/>
      <c r="D128" s="104"/>
      <c r="E128" s="96"/>
      <c r="F128" s="101"/>
      <c r="G128" s="97"/>
      <c r="H128" s="96"/>
      <c r="I128" s="101"/>
      <c r="J128" s="104"/>
      <c r="K128" s="101"/>
      <c r="L128" s="104"/>
      <c r="M128" s="101"/>
      <c r="N128" s="104"/>
      <c r="O128" s="101"/>
      <c r="P128" s="101"/>
      <c r="Q128" s="101"/>
    </row>
    <row r="129" spans="1:17" x14ac:dyDescent="0.35">
      <c r="A129" s="123" t="s">
        <v>5</v>
      </c>
      <c r="B129" s="96">
        <v>29</v>
      </c>
      <c r="C129" s="96" t="s">
        <v>1343</v>
      </c>
      <c r="D129" s="97">
        <v>8.6999999999999994E-2</v>
      </c>
      <c r="E129" s="96">
        <v>29</v>
      </c>
      <c r="F129" s="96" t="s">
        <v>1344</v>
      </c>
      <c r="G129" s="97">
        <v>0.14299999999999999</v>
      </c>
      <c r="H129" s="96">
        <v>28</v>
      </c>
      <c r="I129" s="96" t="s">
        <v>1345</v>
      </c>
      <c r="J129" s="97">
        <v>2.1000000000000001E-2</v>
      </c>
      <c r="K129" s="96" t="s">
        <v>1346</v>
      </c>
      <c r="L129" s="97">
        <v>0.85899999999999999</v>
      </c>
      <c r="M129" s="98" t="s">
        <v>1347</v>
      </c>
      <c r="N129" s="97">
        <v>0.66100000000000003</v>
      </c>
      <c r="O129" s="99">
        <f>(3.32/3.38)/(3.67/3.78)</f>
        <v>1.0116892120664915</v>
      </c>
      <c r="P129" s="99">
        <f>(2.78/3.38)/(3.32/3.78)</f>
        <v>0.93644400085549306</v>
      </c>
      <c r="Q129" s="101"/>
    </row>
    <row r="130" spans="1:17" x14ac:dyDescent="0.35">
      <c r="A130" s="123" t="s">
        <v>976</v>
      </c>
      <c r="B130" s="96">
        <v>31</v>
      </c>
      <c r="C130" s="96" t="s">
        <v>1348</v>
      </c>
      <c r="D130" s="100"/>
      <c r="E130" s="96">
        <v>31</v>
      </c>
      <c r="F130" s="96" t="s">
        <v>1349</v>
      </c>
      <c r="G130" s="97"/>
      <c r="H130" s="96">
        <v>31</v>
      </c>
      <c r="I130" s="96" t="s">
        <v>1350</v>
      </c>
      <c r="J130" s="104"/>
      <c r="K130" s="101"/>
      <c r="L130" s="102"/>
      <c r="M130" s="101"/>
      <c r="N130" s="102"/>
      <c r="O130" s="101"/>
      <c r="P130" s="101"/>
      <c r="Q130" s="101"/>
    </row>
    <row r="131" spans="1:17" x14ac:dyDescent="0.35">
      <c r="A131" s="123" t="s">
        <v>4</v>
      </c>
      <c r="B131" s="96">
        <v>40</v>
      </c>
      <c r="C131" s="96" t="s">
        <v>1351</v>
      </c>
      <c r="D131" s="97">
        <v>0.58599999999999997</v>
      </c>
      <c r="E131" s="96">
        <v>40</v>
      </c>
      <c r="F131" s="99" t="s">
        <v>1352</v>
      </c>
      <c r="G131" s="97">
        <v>0.93100000000000005</v>
      </c>
      <c r="H131" s="96">
        <v>39</v>
      </c>
      <c r="I131" s="96" t="s">
        <v>1353</v>
      </c>
      <c r="J131" s="97">
        <v>0.38900000000000001</v>
      </c>
      <c r="K131" s="96" t="s">
        <v>1354</v>
      </c>
      <c r="L131" s="97">
        <v>0.745</v>
      </c>
      <c r="M131" s="98" t="s">
        <v>1355</v>
      </c>
      <c r="N131" s="97">
        <v>0.82199999999999995</v>
      </c>
      <c r="O131" s="99">
        <f>(3.3/3.31)/(3.32/3.43)</f>
        <v>1.0300112838059186</v>
      </c>
      <c r="P131" s="99">
        <f>(2.88/3.31)/(3.06/3.43)</f>
        <v>0.97529767193886607</v>
      </c>
      <c r="Q131" s="101"/>
    </row>
    <row r="132" spans="1:17" x14ac:dyDescent="0.35">
      <c r="A132" s="123" t="s">
        <v>1008</v>
      </c>
      <c r="B132" s="96">
        <v>40</v>
      </c>
      <c r="C132" s="96" t="s">
        <v>1356</v>
      </c>
      <c r="D132" s="100"/>
      <c r="E132" s="96">
        <v>41</v>
      </c>
      <c r="F132" s="96" t="s">
        <v>1357</v>
      </c>
      <c r="G132" s="97"/>
      <c r="H132" s="96">
        <v>41</v>
      </c>
      <c r="I132" s="96" t="s">
        <v>1358</v>
      </c>
      <c r="J132" s="100"/>
      <c r="K132" s="96"/>
      <c r="L132" s="97"/>
      <c r="M132" s="96"/>
      <c r="N132" s="97"/>
      <c r="O132" s="101"/>
      <c r="P132" s="101"/>
      <c r="Q132" s="101"/>
    </row>
    <row r="133" spans="1:17" x14ac:dyDescent="0.35">
      <c r="A133" s="123" t="s">
        <v>1012</v>
      </c>
      <c r="B133" s="96">
        <v>26</v>
      </c>
      <c r="C133" s="96" t="s">
        <v>1359</v>
      </c>
      <c r="D133" s="97">
        <v>0.75900000000000001</v>
      </c>
      <c r="E133" s="96">
        <v>28</v>
      </c>
      <c r="F133" s="96" t="s">
        <v>1360</v>
      </c>
      <c r="G133" s="97">
        <v>0.748</v>
      </c>
      <c r="H133" s="96">
        <v>29</v>
      </c>
      <c r="I133" s="96" t="s">
        <v>1361</v>
      </c>
      <c r="J133" s="97">
        <v>0.83699999999999997</v>
      </c>
      <c r="K133" s="96" t="s">
        <v>1362</v>
      </c>
      <c r="L133" s="97">
        <v>0.99299999999999999</v>
      </c>
      <c r="M133" s="98" t="s">
        <v>1363</v>
      </c>
      <c r="N133" s="97">
        <v>0.71699999999999997</v>
      </c>
      <c r="O133" s="99">
        <f>(3.12/3.14)/(3.05/3.07)</f>
        <v>1.0001461835647907</v>
      </c>
      <c r="P133" s="99">
        <f>(2.73/3.14)/(2.78/3.07)</f>
        <v>0.96012234798148732</v>
      </c>
      <c r="Q133" s="101"/>
    </row>
    <row r="134" spans="1:17" x14ac:dyDescent="0.35">
      <c r="A134" s="123" t="s">
        <v>974</v>
      </c>
      <c r="B134" s="96">
        <v>23</v>
      </c>
      <c r="C134" s="96" t="s">
        <v>1364</v>
      </c>
      <c r="D134" s="100"/>
      <c r="E134" s="96">
        <v>30</v>
      </c>
      <c r="F134" s="96" t="s">
        <v>1365</v>
      </c>
      <c r="G134" s="97"/>
      <c r="H134" s="96">
        <v>31</v>
      </c>
      <c r="I134" s="96" t="s">
        <v>1345</v>
      </c>
      <c r="J134" s="100"/>
      <c r="K134" s="101"/>
      <c r="L134" s="102"/>
      <c r="M134" s="101"/>
      <c r="N134" s="102"/>
      <c r="O134" s="101"/>
      <c r="P134" s="101"/>
      <c r="Q134" s="101"/>
    </row>
    <row r="135" spans="1:17" ht="16" customHeight="1" x14ac:dyDescent="0.35">
      <c r="A135" s="95" t="s">
        <v>1506</v>
      </c>
      <c r="B135" s="96"/>
      <c r="C135" s="101"/>
      <c r="D135" s="104"/>
      <c r="E135" s="96"/>
      <c r="F135" s="101"/>
      <c r="G135" s="102"/>
      <c r="H135" s="96"/>
      <c r="I135" s="101"/>
      <c r="J135" s="104"/>
      <c r="K135" s="101"/>
      <c r="L135" s="102"/>
      <c r="M135" s="101"/>
      <c r="N135" s="102"/>
      <c r="O135" s="101"/>
      <c r="P135" s="101"/>
      <c r="Q135" s="101"/>
    </row>
    <row r="136" spans="1:17" x14ac:dyDescent="0.35">
      <c r="A136" s="123" t="s">
        <v>5</v>
      </c>
      <c r="B136" s="96">
        <v>40</v>
      </c>
      <c r="C136" s="99" t="s">
        <v>1366</v>
      </c>
      <c r="D136" s="97">
        <v>0.96099999999999997</v>
      </c>
      <c r="E136" s="96">
        <v>40</v>
      </c>
      <c r="F136" s="96" t="s">
        <v>1367</v>
      </c>
      <c r="G136" s="97">
        <v>0.35599999999999998</v>
      </c>
      <c r="H136" s="96">
        <v>40</v>
      </c>
      <c r="I136" s="96" t="s">
        <v>1368</v>
      </c>
      <c r="J136" s="97">
        <v>0.65200000000000002</v>
      </c>
      <c r="K136" s="98" t="s">
        <v>1369</v>
      </c>
      <c r="L136" s="97">
        <v>0.49199999999999999</v>
      </c>
      <c r="M136" s="96" t="s">
        <v>1370</v>
      </c>
      <c r="N136" s="97">
        <v>0.77300000000000002</v>
      </c>
      <c r="O136" s="99">
        <f>(3.39/3.5)/(3.57/3.49)</f>
        <v>0.94686674669867954</v>
      </c>
      <c r="P136" s="99">
        <f>(3.12/3.5)/(3.03/3.49)</f>
        <v>1.0267609618104669</v>
      </c>
      <c r="Q136" s="101"/>
    </row>
    <row r="137" spans="1:17" x14ac:dyDescent="0.35">
      <c r="A137" s="123" t="s">
        <v>976</v>
      </c>
      <c r="B137" s="96">
        <v>35</v>
      </c>
      <c r="C137" s="96" t="s">
        <v>1371</v>
      </c>
      <c r="D137" s="100"/>
      <c r="E137" s="96">
        <v>35</v>
      </c>
      <c r="F137" s="96" t="s">
        <v>1372</v>
      </c>
      <c r="G137" s="97"/>
      <c r="H137" s="96">
        <v>32</v>
      </c>
      <c r="I137" s="96" t="s">
        <v>387</v>
      </c>
      <c r="J137" s="100"/>
      <c r="K137" s="101"/>
      <c r="L137" s="102"/>
      <c r="M137" s="101"/>
      <c r="N137" s="102"/>
      <c r="O137" s="101"/>
      <c r="P137" s="101"/>
      <c r="Q137" s="101"/>
    </row>
    <row r="138" spans="1:17" x14ac:dyDescent="0.35">
      <c r="A138" s="123" t="s">
        <v>4</v>
      </c>
      <c r="B138" s="96">
        <v>48</v>
      </c>
      <c r="C138" s="96" t="s">
        <v>1373</v>
      </c>
      <c r="D138" s="97">
        <v>0.29299999999999998</v>
      </c>
      <c r="E138" s="96">
        <v>47</v>
      </c>
      <c r="F138" s="99" t="s">
        <v>1374</v>
      </c>
      <c r="G138" s="97">
        <v>0.57199999999999995</v>
      </c>
      <c r="H138" s="96">
        <v>46</v>
      </c>
      <c r="I138" s="96" t="s">
        <v>1375</v>
      </c>
      <c r="J138" s="97">
        <v>0.73299999999999998</v>
      </c>
      <c r="K138" s="96" t="s">
        <v>1376</v>
      </c>
      <c r="L138" s="97">
        <v>0.73499999999999999</v>
      </c>
      <c r="M138" s="96" t="s">
        <v>1377</v>
      </c>
      <c r="N138" s="97">
        <v>0.62</v>
      </c>
      <c r="O138" s="99">
        <f>(3.3/3.25)/(3.4/3.44)</f>
        <v>1.0273303167420813</v>
      </c>
      <c r="P138" s="99">
        <f>(2.97/3.25)/(3.03/3.44)</f>
        <v>1.0375019040365574</v>
      </c>
      <c r="Q138" s="101"/>
    </row>
    <row r="139" spans="1:17" x14ac:dyDescent="0.35">
      <c r="A139" s="123" t="s">
        <v>1008</v>
      </c>
      <c r="B139" s="96">
        <v>47</v>
      </c>
      <c r="C139" s="96" t="s">
        <v>1378</v>
      </c>
      <c r="D139" s="100"/>
      <c r="E139" s="96">
        <v>46</v>
      </c>
      <c r="F139" s="99" t="s">
        <v>1379</v>
      </c>
      <c r="G139" s="97"/>
      <c r="H139" s="96">
        <v>46</v>
      </c>
      <c r="I139" s="96" t="s">
        <v>619</v>
      </c>
      <c r="J139" s="104"/>
      <c r="K139" s="101"/>
      <c r="L139" s="102"/>
      <c r="M139" s="101"/>
      <c r="N139" s="102"/>
      <c r="O139" s="101"/>
      <c r="P139" s="101"/>
      <c r="Q139" s="101"/>
    </row>
    <row r="140" spans="1:17" x14ac:dyDescent="0.35">
      <c r="A140" s="123" t="s">
        <v>1012</v>
      </c>
      <c r="B140" s="96">
        <v>29</v>
      </c>
      <c r="C140" s="96" t="s">
        <v>1380</v>
      </c>
      <c r="D140" s="97">
        <v>0.85899999999999999</v>
      </c>
      <c r="E140" s="96">
        <v>28</v>
      </c>
      <c r="F140" s="96" t="s">
        <v>1380</v>
      </c>
      <c r="G140" s="97">
        <v>0.53800000000000003</v>
      </c>
      <c r="H140" s="96">
        <v>29</v>
      </c>
      <c r="I140" s="96" t="s">
        <v>1381</v>
      </c>
      <c r="J140" s="97">
        <v>0.54200000000000004</v>
      </c>
      <c r="K140" s="96" t="s">
        <v>1382</v>
      </c>
      <c r="L140" s="97">
        <v>0.76700000000000002</v>
      </c>
      <c r="M140" s="96" t="s">
        <v>1382</v>
      </c>
      <c r="N140" s="97">
        <v>0.77400000000000002</v>
      </c>
      <c r="O140" s="99">
        <f>(3.29/3.29)/(3.15/3.24)</f>
        <v>1.0285714285714287</v>
      </c>
      <c r="P140" s="99">
        <f>(3.06/3.29)/(2.93/3.24)</f>
        <v>1.0284967374503355</v>
      </c>
      <c r="Q140" s="101"/>
    </row>
    <row r="141" spans="1:17" x14ac:dyDescent="0.35">
      <c r="A141" s="123" t="s">
        <v>974</v>
      </c>
      <c r="B141" s="96">
        <v>31</v>
      </c>
      <c r="C141" s="96" t="s">
        <v>617</v>
      </c>
      <c r="D141" s="104"/>
      <c r="E141" s="96">
        <v>30</v>
      </c>
      <c r="F141" s="96" t="s">
        <v>1383</v>
      </c>
      <c r="G141" s="97"/>
      <c r="H141" s="96">
        <v>31</v>
      </c>
      <c r="I141" s="99" t="s">
        <v>660</v>
      </c>
      <c r="J141" s="104"/>
      <c r="K141" s="101"/>
      <c r="L141" s="102"/>
      <c r="M141" s="101"/>
      <c r="N141" s="104"/>
      <c r="O141" s="101"/>
      <c r="P141" s="101"/>
      <c r="Q141" s="101"/>
    </row>
    <row r="142" spans="1:17" x14ac:dyDescent="0.35">
      <c r="A142" s="114" t="s">
        <v>1512</v>
      </c>
      <c r="B142" s="96"/>
      <c r="C142" s="101"/>
      <c r="D142" s="104"/>
      <c r="E142" s="96"/>
      <c r="F142" s="101"/>
      <c r="G142" s="97"/>
      <c r="H142" s="96"/>
      <c r="I142" s="101"/>
      <c r="J142" s="104"/>
      <c r="K142" s="101"/>
      <c r="L142" s="104"/>
      <c r="M142" s="101"/>
      <c r="N142" s="104"/>
      <c r="O142" s="101"/>
      <c r="P142" s="101"/>
      <c r="Q142" s="101"/>
    </row>
    <row r="143" spans="1:17" x14ac:dyDescent="0.35">
      <c r="A143" s="95" t="s">
        <v>1505</v>
      </c>
      <c r="B143" s="96"/>
      <c r="C143" s="101"/>
      <c r="D143" s="104"/>
      <c r="E143" s="96"/>
      <c r="F143" s="101"/>
      <c r="G143" s="97"/>
      <c r="H143" s="96"/>
      <c r="I143" s="101"/>
      <c r="J143" s="104"/>
      <c r="K143" s="101"/>
      <c r="L143" s="104"/>
      <c r="M143" s="101"/>
      <c r="N143" s="104"/>
      <c r="O143" s="101"/>
      <c r="P143" s="101"/>
      <c r="Q143" s="101"/>
    </row>
    <row r="144" spans="1:17" x14ac:dyDescent="0.35">
      <c r="A144" s="123" t="s">
        <v>5</v>
      </c>
      <c r="B144" s="96">
        <v>39</v>
      </c>
      <c r="C144" s="96" t="s">
        <v>339</v>
      </c>
      <c r="D144" s="97">
        <v>0.34899999999999998</v>
      </c>
      <c r="E144" s="96">
        <v>39</v>
      </c>
      <c r="F144" s="96" t="s">
        <v>287</v>
      </c>
      <c r="G144" s="97">
        <v>0.46100000000000002</v>
      </c>
      <c r="H144" s="96">
        <v>28</v>
      </c>
      <c r="I144" s="96" t="s">
        <v>387</v>
      </c>
      <c r="J144" s="97">
        <v>0.77400000000000002</v>
      </c>
      <c r="K144" s="96" t="s">
        <v>1384</v>
      </c>
      <c r="L144" s="97">
        <v>0.88900000000000001</v>
      </c>
      <c r="M144" s="96" t="s">
        <v>1232</v>
      </c>
      <c r="N144" s="97">
        <v>0.65400000000000003</v>
      </c>
      <c r="O144" s="99">
        <f>(3.39/3.45)/(3.54/3.65)</f>
        <v>1.013141734217637</v>
      </c>
      <c r="P144" s="99">
        <f>(3.03/3.45)/(3.1/3.65)</f>
        <v>1.0340813464235623</v>
      </c>
      <c r="Q144" s="101"/>
    </row>
    <row r="145" spans="1:20" x14ac:dyDescent="0.35">
      <c r="A145" s="123" t="s">
        <v>976</v>
      </c>
      <c r="B145" s="96">
        <v>41</v>
      </c>
      <c r="C145" s="96" t="s">
        <v>1385</v>
      </c>
      <c r="D145" s="100"/>
      <c r="E145" s="96">
        <v>41</v>
      </c>
      <c r="F145" s="96" t="s">
        <v>1386</v>
      </c>
      <c r="G145" s="97"/>
      <c r="H145" s="96">
        <v>31</v>
      </c>
      <c r="I145" s="99" t="s">
        <v>1387</v>
      </c>
      <c r="J145" s="100"/>
      <c r="K145" s="101"/>
      <c r="L145" s="102"/>
      <c r="M145" s="101"/>
      <c r="N145" s="102"/>
      <c r="O145" s="101"/>
      <c r="P145" s="101"/>
      <c r="Q145" s="101"/>
    </row>
    <row r="146" spans="1:20" x14ac:dyDescent="0.35">
      <c r="A146" s="123" t="s">
        <v>4</v>
      </c>
      <c r="B146" s="96">
        <v>62</v>
      </c>
      <c r="C146" s="96" t="s">
        <v>1388</v>
      </c>
      <c r="D146" s="97">
        <v>0.54</v>
      </c>
      <c r="E146" s="96">
        <v>61</v>
      </c>
      <c r="F146" s="99" t="s">
        <v>1389</v>
      </c>
      <c r="G146" s="97">
        <v>0.95299999999999996</v>
      </c>
      <c r="H146" s="96">
        <v>39</v>
      </c>
      <c r="I146" s="96" t="s">
        <v>1390</v>
      </c>
      <c r="J146" s="97">
        <v>0.85299999999999998</v>
      </c>
      <c r="K146" s="96" t="s">
        <v>1391</v>
      </c>
      <c r="L146" s="97">
        <v>0.63500000000000001</v>
      </c>
      <c r="M146" s="96" t="s">
        <v>1392</v>
      </c>
      <c r="N146" s="97">
        <v>0.57399999999999995</v>
      </c>
      <c r="O146" s="99">
        <f>(3.3/3.29)/(3.29/3.4)</f>
        <v>1.036575789211112</v>
      </c>
      <c r="P146" s="99">
        <f>(2.98/3.29)/(2.98/3.4)</f>
        <v>1.0334346504559271</v>
      </c>
      <c r="Q146" s="101"/>
    </row>
    <row r="147" spans="1:20" x14ac:dyDescent="0.35">
      <c r="A147" s="123" t="s">
        <v>1008</v>
      </c>
      <c r="B147" s="96">
        <v>48</v>
      </c>
      <c r="C147" s="99" t="s">
        <v>1379</v>
      </c>
      <c r="D147" s="100"/>
      <c r="E147" s="96">
        <v>48</v>
      </c>
      <c r="F147" s="96" t="s">
        <v>1388</v>
      </c>
      <c r="G147" s="97"/>
      <c r="H147" s="96">
        <v>41</v>
      </c>
      <c r="I147" s="96" t="s">
        <v>1390</v>
      </c>
      <c r="J147" s="100"/>
      <c r="K147" s="101"/>
      <c r="L147" s="102"/>
      <c r="M147" s="101"/>
      <c r="N147" s="102"/>
      <c r="O147" s="101"/>
      <c r="P147" s="101"/>
      <c r="Q147" s="101"/>
    </row>
    <row r="148" spans="1:20" x14ac:dyDescent="0.35">
      <c r="A148" s="123" t="s">
        <v>1012</v>
      </c>
      <c r="B148" s="96">
        <v>39</v>
      </c>
      <c r="C148" s="96" t="s">
        <v>1393</v>
      </c>
      <c r="D148" s="97">
        <v>0.36299999999999999</v>
      </c>
      <c r="E148" s="96">
        <v>38</v>
      </c>
      <c r="F148" s="96" t="s">
        <v>1394</v>
      </c>
      <c r="G148" s="97">
        <v>0.27100000000000002</v>
      </c>
      <c r="H148" s="96">
        <v>25</v>
      </c>
      <c r="I148" s="99" t="s">
        <v>1395</v>
      </c>
      <c r="J148" s="97">
        <v>0.25800000000000001</v>
      </c>
      <c r="K148" s="96" t="s">
        <v>722</v>
      </c>
      <c r="L148" s="97">
        <v>0.89</v>
      </c>
      <c r="M148" s="96" t="s">
        <v>1396</v>
      </c>
      <c r="N148" s="97">
        <v>0.878</v>
      </c>
      <c r="O148" s="99">
        <f>(3.25/3.24)/(3.01/3.05)</f>
        <v>1.0164164718428286</v>
      </c>
      <c r="P148" s="99">
        <f>(3/3.24)/(2.76/3.05)</f>
        <v>1.0232152442297369</v>
      </c>
      <c r="Q148" s="101"/>
    </row>
    <row r="149" spans="1:20" x14ac:dyDescent="0.35">
      <c r="A149" s="123" t="s">
        <v>974</v>
      </c>
      <c r="B149" s="96">
        <v>30</v>
      </c>
      <c r="C149" s="96" t="s">
        <v>1397</v>
      </c>
      <c r="D149" s="104"/>
      <c r="E149" s="96">
        <v>30</v>
      </c>
      <c r="F149" s="96" t="s">
        <v>1398</v>
      </c>
      <c r="G149" s="97"/>
      <c r="H149" s="96">
        <v>24</v>
      </c>
      <c r="I149" s="96" t="s">
        <v>1399</v>
      </c>
      <c r="J149" s="104"/>
      <c r="K149" s="101"/>
      <c r="L149" s="102"/>
      <c r="M149" s="101"/>
      <c r="N149" s="102"/>
      <c r="O149" s="101"/>
      <c r="P149" s="101"/>
      <c r="Q149" s="101"/>
    </row>
    <row r="150" spans="1:20" x14ac:dyDescent="0.35">
      <c r="A150" s="95" t="s">
        <v>1504</v>
      </c>
      <c r="B150" s="96"/>
      <c r="C150" s="101"/>
      <c r="D150" s="104"/>
      <c r="E150" s="96"/>
      <c r="F150" s="101"/>
      <c r="G150" s="97"/>
      <c r="H150" s="96"/>
      <c r="I150" s="101"/>
      <c r="J150" s="104"/>
      <c r="K150" s="101"/>
      <c r="L150" s="102"/>
      <c r="M150" s="101"/>
      <c r="N150" s="102"/>
      <c r="O150" s="101"/>
      <c r="P150" s="101"/>
      <c r="Q150" s="101"/>
    </row>
    <row r="151" spans="1:20" x14ac:dyDescent="0.35">
      <c r="A151" s="123" t="s">
        <v>5</v>
      </c>
      <c r="B151" s="96">
        <v>30</v>
      </c>
      <c r="C151" s="96" t="s">
        <v>1400</v>
      </c>
      <c r="D151" s="97">
        <v>0.47499999999999998</v>
      </c>
      <c r="E151" s="96">
        <v>30</v>
      </c>
      <c r="F151" s="96" t="s">
        <v>1401</v>
      </c>
      <c r="G151" s="97">
        <v>5.6000000000000001E-2</v>
      </c>
      <c r="H151" s="96">
        <v>40</v>
      </c>
      <c r="I151" s="96" t="s">
        <v>1402</v>
      </c>
      <c r="J151" s="97">
        <v>6.6000000000000003E-2</v>
      </c>
      <c r="K151" s="98" t="s">
        <v>1403</v>
      </c>
      <c r="L151" s="97">
        <v>0.39400000000000002</v>
      </c>
      <c r="M151" s="105" t="s">
        <v>1404</v>
      </c>
      <c r="N151" s="97">
        <v>0.42499999999999999</v>
      </c>
      <c r="O151" s="99">
        <f>(3.33/3.44)/(3.74/3.6)</f>
        <v>0.93178709115781622</v>
      </c>
      <c r="P151" s="99">
        <f>(2.91/3.44)/(3.29/3.6)</f>
        <v>0.9256379444405175</v>
      </c>
      <c r="Q151" s="101"/>
    </row>
    <row r="152" spans="1:20" x14ac:dyDescent="0.35">
      <c r="A152" s="123" t="s">
        <v>976</v>
      </c>
      <c r="B152" s="96">
        <v>25</v>
      </c>
      <c r="C152" s="99" t="s">
        <v>1405</v>
      </c>
      <c r="D152" s="100"/>
      <c r="E152" s="96">
        <v>25</v>
      </c>
      <c r="F152" s="96" t="s">
        <v>1406</v>
      </c>
      <c r="G152" s="97"/>
      <c r="H152" s="96">
        <v>32</v>
      </c>
      <c r="I152" s="96" t="s">
        <v>1380</v>
      </c>
      <c r="J152" s="104"/>
      <c r="K152" s="101"/>
      <c r="L152" s="102"/>
      <c r="M152" s="101"/>
      <c r="N152" s="102"/>
      <c r="O152" s="101"/>
      <c r="P152" s="101"/>
      <c r="Q152" s="101"/>
    </row>
    <row r="153" spans="1:20" x14ac:dyDescent="0.35">
      <c r="A153" s="123" t="s">
        <v>4</v>
      </c>
      <c r="B153" s="96">
        <v>26</v>
      </c>
      <c r="C153" s="96" t="s">
        <v>1407</v>
      </c>
      <c r="D153" s="97">
        <v>0.28999999999999998</v>
      </c>
      <c r="E153" s="96">
        <v>26</v>
      </c>
      <c r="F153" s="96" t="s">
        <v>1408</v>
      </c>
      <c r="G153" s="97">
        <v>0.47599999999999998</v>
      </c>
      <c r="H153" s="96">
        <v>46</v>
      </c>
      <c r="I153" s="96" t="s">
        <v>334</v>
      </c>
      <c r="J153" s="97">
        <v>9.7000000000000003E-2</v>
      </c>
      <c r="K153" s="96" t="s">
        <v>447</v>
      </c>
      <c r="L153" s="97">
        <v>0.80700000000000005</v>
      </c>
      <c r="M153" s="98" t="s">
        <v>1409</v>
      </c>
      <c r="N153" s="97">
        <v>0.66900000000000004</v>
      </c>
      <c r="O153" s="99">
        <f>(3.31/3.25)/(3.45/3.47)</f>
        <v>1.0243656633221851</v>
      </c>
      <c r="P153" s="99">
        <f>(2.82/3.25)/(3.17/3.47)</f>
        <v>0.94980829895656393</v>
      </c>
      <c r="Q153" s="101"/>
    </row>
    <row r="154" spans="1:20" x14ac:dyDescent="0.35">
      <c r="A154" s="123" t="s">
        <v>1008</v>
      </c>
      <c r="B154" s="96">
        <v>39</v>
      </c>
      <c r="C154" s="96" t="s">
        <v>1410</v>
      </c>
      <c r="D154" s="100"/>
      <c r="E154" s="96">
        <v>39</v>
      </c>
      <c r="F154" s="96" t="s">
        <v>1411</v>
      </c>
      <c r="G154" s="97"/>
      <c r="H154" s="96">
        <v>46</v>
      </c>
      <c r="I154" s="96" t="s">
        <v>1412</v>
      </c>
      <c r="J154" s="100"/>
      <c r="K154" s="101"/>
      <c r="L154" s="102"/>
      <c r="M154" s="101"/>
      <c r="N154" s="102"/>
      <c r="O154" s="101"/>
      <c r="P154" s="101"/>
      <c r="Q154" s="101"/>
    </row>
    <row r="155" spans="1:20" x14ac:dyDescent="0.35">
      <c r="A155" s="123" t="s">
        <v>1012</v>
      </c>
      <c r="B155" s="96">
        <v>16</v>
      </c>
      <c r="C155" s="96" t="s">
        <v>1413</v>
      </c>
      <c r="D155" s="97">
        <v>0.53400000000000003</v>
      </c>
      <c r="E155" s="96">
        <v>16</v>
      </c>
      <c r="F155" s="96" t="s">
        <v>1414</v>
      </c>
      <c r="G155" s="97">
        <v>0.68200000000000005</v>
      </c>
      <c r="H155" s="96">
        <v>29</v>
      </c>
      <c r="I155" s="96" t="s">
        <v>1415</v>
      </c>
      <c r="J155" s="97">
        <v>0.224</v>
      </c>
      <c r="K155" s="96" t="s">
        <v>1416</v>
      </c>
      <c r="L155" s="97">
        <v>0.88</v>
      </c>
      <c r="M155" s="98" t="s">
        <v>1417</v>
      </c>
      <c r="N155" s="97">
        <v>0.67300000000000004</v>
      </c>
      <c r="O155" s="99">
        <f>(3.12/3.16)/(3.22/3.32)</f>
        <v>1.0180045601069265</v>
      </c>
      <c r="P155" s="99">
        <f>(2.68/3.16)/(2.99/3.32)</f>
        <v>0.94170441556242312</v>
      </c>
      <c r="Q155" s="101"/>
    </row>
    <row r="156" spans="1:20" x14ac:dyDescent="0.35">
      <c r="A156" s="123" t="s">
        <v>974</v>
      </c>
      <c r="B156" s="96">
        <v>24</v>
      </c>
      <c r="C156" s="96" t="s">
        <v>1350</v>
      </c>
      <c r="D156" s="104"/>
      <c r="E156" s="96">
        <v>24</v>
      </c>
      <c r="F156" s="96" t="s">
        <v>1418</v>
      </c>
      <c r="G156" s="100"/>
      <c r="H156" s="96">
        <v>31</v>
      </c>
      <c r="I156" s="96" t="s">
        <v>1419</v>
      </c>
      <c r="J156" s="104"/>
      <c r="K156" s="101"/>
      <c r="L156" s="102"/>
      <c r="M156" s="101"/>
      <c r="N156" s="104"/>
      <c r="O156" s="101"/>
      <c r="P156" s="101"/>
      <c r="Q156" s="101"/>
    </row>
    <row r="157" spans="1:20" x14ac:dyDescent="0.35">
      <c r="A157" s="114" t="s">
        <v>1513</v>
      </c>
      <c r="B157" s="96"/>
      <c r="C157" s="96"/>
      <c r="D157" s="104"/>
      <c r="E157" s="96"/>
      <c r="F157" s="96"/>
      <c r="G157" s="100"/>
      <c r="H157" s="96"/>
      <c r="I157" s="96"/>
      <c r="J157" s="104"/>
      <c r="K157" s="101"/>
      <c r="L157" s="104"/>
      <c r="M157" s="101"/>
      <c r="N157" s="104"/>
      <c r="O157" s="101"/>
      <c r="P157" s="101"/>
      <c r="Q157" s="101"/>
    </row>
    <row r="158" spans="1:20" x14ac:dyDescent="0.35">
      <c r="A158" s="95" t="s">
        <v>1502</v>
      </c>
      <c r="B158" s="96"/>
      <c r="C158" s="96"/>
      <c r="D158" s="100"/>
      <c r="E158" s="96"/>
      <c r="F158" s="96"/>
      <c r="G158" s="100"/>
      <c r="H158" s="96"/>
      <c r="I158" s="96"/>
      <c r="J158" s="100"/>
      <c r="K158" s="98"/>
      <c r="L158" s="100"/>
      <c r="M158" s="98"/>
      <c r="N158" s="100"/>
      <c r="O158" s="99"/>
      <c r="P158" s="99"/>
      <c r="Q158" s="98"/>
      <c r="R158" s="100"/>
      <c r="S158" s="99"/>
      <c r="T158" s="99"/>
    </row>
    <row r="159" spans="1:20" x14ac:dyDescent="0.35">
      <c r="A159" s="123" t="s">
        <v>5</v>
      </c>
      <c r="B159" s="96">
        <v>39</v>
      </c>
      <c r="C159" s="96" t="s">
        <v>1420</v>
      </c>
      <c r="D159" s="100">
        <v>0.12</v>
      </c>
      <c r="E159" s="96">
        <v>39</v>
      </c>
      <c r="F159" s="96" t="s">
        <v>1421</v>
      </c>
      <c r="G159" s="100">
        <v>0.05</v>
      </c>
      <c r="H159" s="96">
        <v>39</v>
      </c>
      <c r="I159" s="96" t="s">
        <v>1422</v>
      </c>
      <c r="J159" s="104">
        <v>0.05</v>
      </c>
      <c r="K159" s="105" t="s">
        <v>1423</v>
      </c>
      <c r="L159" s="100">
        <v>0.76</v>
      </c>
      <c r="M159" s="98" t="s">
        <v>1424</v>
      </c>
      <c r="N159" s="96">
        <v>0.78</v>
      </c>
      <c r="O159" s="99">
        <f>(3.35/3.42)/(3.71/3.71)</f>
        <v>0.97953216374269014</v>
      </c>
      <c r="P159" s="99">
        <f>(2.91/3.42)/(3.27/3.71)</f>
        <v>0.96536831375073773</v>
      </c>
      <c r="Q159" s="101"/>
      <c r="R159" s="104"/>
      <c r="S159" s="99"/>
      <c r="T159" s="99"/>
    </row>
    <row r="160" spans="1:20" x14ac:dyDescent="0.35">
      <c r="A160" s="123" t="s">
        <v>976</v>
      </c>
      <c r="B160" s="96">
        <v>44</v>
      </c>
      <c r="C160" s="96" t="s">
        <v>1425</v>
      </c>
      <c r="D160" s="100"/>
      <c r="E160" s="96">
        <v>44</v>
      </c>
      <c r="F160" s="96" t="s">
        <v>1425</v>
      </c>
      <c r="G160" s="100"/>
      <c r="H160" s="96">
        <v>44</v>
      </c>
      <c r="I160" s="96" t="s">
        <v>620</v>
      </c>
      <c r="J160" s="100"/>
      <c r="K160" s="96"/>
      <c r="L160" s="100"/>
      <c r="M160" s="98"/>
      <c r="N160" s="100"/>
      <c r="O160" s="99"/>
      <c r="P160" s="99"/>
      <c r="Q160" s="98"/>
      <c r="R160" s="100"/>
      <c r="S160" s="99"/>
      <c r="T160" s="99"/>
    </row>
    <row r="161" spans="1:20" x14ac:dyDescent="0.35">
      <c r="A161" s="123" t="s">
        <v>4</v>
      </c>
      <c r="B161" s="96">
        <v>50</v>
      </c>
      <c r="C161" s="96" t="s">
        <v>1426</v>
      </c>
      <c r="D161" s="100">
        <v>0.34</v>
      </c>
      <c r="E161" s="96">
        <v>50</v>
      </c>
      <c r="F161" s="96" t="s">
        <v>1426</v>
      </c>
      <c r="G161" s="100">
        <v>0.25</v>
      </c>
      <c r="H161" s="96">
        <v>50</v>
      </c>
      <c r="I161" s="96" t="s">
        <v>1427</v>
      </c>
      <c r="J161" s="104">
        <v>0.54</v>
      </c>
      <c r="K161" s="105" t="s">
        <v>584</v>
      </c>
      <c r="L161" s="97">
        <v>0.9</v>
      </c>
      <c r="M161" s="98" t="s">
        <v>1428</v>
      </c>
      <c r="N161" s="97">
        <v>0.8</v>
      </c>
      <c r="O161" s="99">
        <f>(3.52/3.52)/(3.32/3.35)</f>
        <v>1.0090361445783134</v>
      </c>
      <c r="P161" s="99">
        <f>(3.09/3.52)/(2.98/3.35)</f>
        <v>0.98683457901159244</v>
      </c>
      <c r="Q161" s="101"/>
      <c r="R161" s="104"/>
      <c r="S161" s="99"/>
      <c r="T161" s="99"/>
    </row>
    <row r="162" spans="1:20" x14ac:dyDescent="0.35">
      <c r="A162" s="123" t="s">
        <v>1008</v>
      </c>
      <c r="B162" s="96">
        <v>46</v>
      </c>
      <c r="C162" s="96" t="s">
        <v>1421</v>
      </c>
      <c r="D162" s="100"/>
      <c r="E162" s="96">
        <v>47</v>
      </c>
      <c r="F162" s="96" t="s">
        <v>1429</v>
      </c>
      <c r="G162" s="100"/>
      <c r="H162" s="96">
        <v>47</v>
      </c>
      <c r="I162" s="96" t="s">
        <v>1430</v>
      </c>
      <c r="J162" s="100"/>
      <c r="K162" s="98"/>
      <c r="L162" s="100"/>
      <c r="M162" s="98"/>
      <c r="N162" s="100"/>
      <c r="O162" s="99"/>
      <c r="P162" s="99"/>
      <c r="Q162" s="98"/>
      <c r="R162" s="100"/>
      <c r="S162" s="99"/>
      <c r="T162" s="99"/>
    </row>
    <row r="163" spans="1:20" ht="15" customHeight="1" x14ac:dyDescent="0.35">
      <c r="A163" s="123" t="s">
        <v>1012</v>
      </c>
      <c r="B163" s="96">
        <v>28</v>
      </c>
      <c r="C163" s="96" t="s">
        <v>1431</v>
      </c>
      <c r="D163" s="100">
        <v>2E-3</v>
      </c>
      <c r="E163" s="96">
        <v>28</v>
      </c>
      <c r="F163" s="96" t="s">
        <v>640</v>
      </c>
      <c r="G163" s="100">
        <v>0.03</v>
      </c>
      <c r="H163" s="96">
        <v>28</v>
      </c>
      <c r="I163" s="96" t="s">
        <v>1432</v>
      </c>
      <c r="J163" s="104">
        <v>0.09</v>
      </c>
      <c r="K163" s="105" t="s">
        <v>1433</v>
      </c>
      <c r="L163" s="100">
        <v>0.51</v>
      </c>
      <c r="M163" s="98" t="s">
        <v>1434</v>
      </c>
      <c r="N163" s="97">
        <v>0.3</v>
      </c>
      <c r="O163" s="99">
        <f>(3.41/3.52)/(2.93/2.84)</f>
        <v>0.93899317406143334</v>
      </c>
      <c r="P163" s="99">
        <f>(3.01/3.52)/(2.65/2.84)</f>
        <v>0.91642367066895369</v>
      </c>
      <c r="Q163" s="101"/>
      <c r="R163" s="104"/>
      <c r="S163" s="124"/>
      <c r="T163" s="124"/>
    </row>
    <row r="164" spans="1:20" ht="15" customHeight="1" x14ac:dyDescent="0.35">
      <c r="A164" s="123" t="s">
        <v>974</v>
      </c>
      <c r="B164" s="96">
        <v>24</v>
      </c>
      <c r="C164" s="96" t="s">
        <v>1435</v>
      </c>
      <c r="D164" s="100"/>
      <c r="E164" s="96">
        <v>25</v>
      </c>
      <c r="F164" s="96" t="s">
        <v>660</v>
      </c>
      <c r="G164" s="100"/>
      <c r="H164" s="96">
        <v>25</v>
      </c>
      <c r="I164" s="96" t="s">
        <v>1436</v>
      </c>
      <c r="J164" s="104"/>
      <c r="K164" s="101"/>
      <c r="L164" s="104"/>
      <c r="M164" s="101"/>
      <c r="N164" s="104"/>
      <c r="O164" s="99"/>
      <c r="P164" s="99"/>
      <c r="Q164" s="101"/>
    </row>
    <row r="165" spans="1:20" ht="15" customHeight="1" x14ac:dyDescent="0.35">
      <c r="A165" s="95" t="s">
        <v>1503</v>
      </c>
      <c r="B165" s="96"/>
      <c r="C165" s="96"/>
      <c r="D165" s="100"/>
      <c r="E165" s="96"/>
      <c r="F165" s="96"/>
      <c r="G165" s="100"/>
      <c r="H165" s="96"/>
      <c r="I165" s="96"/>
      <c r="J165" s="100"/>
      <c r="K165" s="98"/>
      <c r="L165" s="100"/>
      <c r="M165" s="98"/>
      <c r="N165" s="100"/>
      <c r="O165" s="99"/>
      <c r="P165" s="99"/>
      <c r="Q165" s="98"/>
      <c r="R165" s="100"/>
      <c r="S165" s="99"/>
      <c r="T165" s="99"/>
    </row>
    <row r="166" spans="1:20" ht="15" customHeight="1" x14ac:dyDescent="0.35">
      <c r="A166" s="123" t="s">
        <v>5</v>
      </c>
      <c r="B166" s="96">
        <v>30</v>
      </c>
      <c r="C166" s="96" t="s">
        <v>1437</v>
      </c>
      <c r="D166" s="100">
        <v>0.95</v>
      </c>
      <c r="E166" s="96">
        <v>30</v>
      </c>
      <c r="F166" s="96" t="s">
        <v>1343</v>
      </c>
      <c r="G166" s="97">
        <v>0.87</v>
      </c>
      <c r="H166" s="96">
        <v>29</v>
      </c>
      <c r="I166" s="96" t="s">
        <v>1364</v>
      </c>
      <c r="J166" s="100">
        <v>0.68</v>
      </c>
      <c r="K166" s="98" t="s">
        <v>1438</v>
      </c>
      <c r="L166" s="100">
        <v>0.87</v>
      </c>
      <c r="M166" s="98" t="s">
        <v>1439</v>
      </c>
      <c r="N166" s="97">
        <v>0.8</v>
      </c>
      <c r="O166" s="99">
        <f>(3.38/3.48)/(3.42/3.47)</f>
        <v>0.98546413927539156</v>
      </c>
      <c r="P166" s="99">
        <f>(3.07/3.48)/(2.95/3.47)</f>
        <v>1.0376875121761153</v>
      </c>
      <c r="Q166" s="101"/>
      <c r="R166" s="104"/>
      <c r="S166" s="99"/>
      <c r="T166" s="99"/>
    </row>
    <row r="167" spans="1:20" ht="15" customHeight="1" x14ac:dyDescent="0.35">
      <c r="A167" s="123" t="s">
        <v>976</v>
      </c>
      <c r="B167" s="96">
        <v>22</v>
      </c>
      <c r="C167" s="96" t="s">
        <v>1440</v>
      </c>
      <c r="D167" s="100"/>
      <c r="E167" s="96">
        <v>22</v>
      </c>
      <c r="F167" s="96" t="s">
        <v>1441</v>
      </c>
      <c r="G167" s="100"/>
      <c r="H167" s="96">
        <v>19</v>
      </c>
      <c r="I167" s="96" t="s">
        <v>1442</v>
      </c>
      <c r="J167" s="100"/>
      <c r="K167" s="96"/>
      <c r="L167" s="96"/>
      <c r="M167" s="98"/>
      <c r="N167" s="96"/>
      <c r="O167" s="96"/>
      <c r="P167" s="100"/>
      <c r="Q167" s="96"/>
      <c r="R167" s="100"/>
      <c r="S167" s="99"/>
      <c r="T167" s="99"/>
    </row>
    <row r="168" spans="1:20" ht="16" customHeight="1" x14ac:dyDescent="0.35">
      <c r="A168" s="123" t="s">
        <v>4</v>
      </c>
      <c r="B168" s="96">
        <v>38</v>
      </c>
      <c r="C168" s="96" t="s">
        <v>1443</v>
      </c>
      <c r="D168" s="100">
        <v>4.0000000000000001E-3</v>
      </c>
      <c r="E168" s="96">
        <v>37</v>
      </c>
      <c r="F168" s="96" t="s">
        <v>1395</v>
      </c>
      <c r="G168" s="100">
        <v>0.04</v>
      </c>
      <c r="H168" s="96">
        <v>35</v>
      </c>
      <c r="I168" s="96" t="s">
        <v>1444</v>
      </c>
      <c r="J168" s="100">
        <v>0.04</v>
      </c>
      <c r="K168" s="96" t="s">
        <v>1445</v>
      </c>
      <c r="L168" s="100">
        <v>0.59</v>
      </c>
      <c r="M168" s="96" t="s">
        <v>1446</v>
      </c>
      <c r="N168" s="100">
        <v>0.61</v>
      </c>
      <c r="O168" s="99">
        <f>(3/2.97)/(3.41/3.53)</f>
        <v>1.0456470867028049</v>
      </c>
      <c r="P168" s="99">
        <f>(2.71/2.97)/(3.12/3.53)</f>
        <v>1.0323642406975739</v>
      </c>
      <c r="Q168" s="101"/>
      <c r="R168" s="104"/>
      <c r="S168" s="96"/>
      <c r="T168" s="96"/>
    </row>
    <row r="169" spans="1:20" ht="16" customHeight="1" x14ac:dyDescent="0.35">
      <c r="A169" s="123" t="s">
        <v>1008</v>
      </c>
      <c r="B169" s="96">
        <v>41</v>
      </c>
      <c r="C169" s="96" t="s">
        <v>1447</v>
      </c>
      <c r="D169" s="100"/>
      <c r="E169" s="96">
        <v>40</v>
      </c>
      <c r="F169" s="96" t="s">
        <v>1448</v>
      </c>
      <c r="G169" s="100"/>
      <c r="H169" s="96">
        <v>40</v>
      </c>
      <c r="I169" s="96" t="s">
        <v>1449</v>
      </c>
      <c r="J169" s="100"/>
      <c r="K169" s="96"/>
      <c r="L169" s="96"/>
      <c r="M169" s="96"/>
      <c r="N169" s="101"/>
      <c r="O169" s="96"/>
      <c r="P169" s="100"/>
      <c r="Q169" s="98"/>
      <c r="R169" s="100"/>
      <c r="S169" s="99"/>
      <c r="T169" s="99"/>
    </row>
    <row r="170" spans="1:20" ht="16" customHeight="1" x14ac:dyDescent="0.35">
      <c r="A170" s="123" t="s">
        <v>1012</v>
      </c>
      <c r="B170" s="96">
        <v>27</v>
      </c>
      <c r="C170" s="96" t="s">
        <v>1450</v>
      </c>
      <c r="D170" s="100">
        <v>0.02</v>
      </c>
      <c r="E170" s="96">
        <v>26</v>
      </c>
      <c r="F170" s="96" t="s">
        <v>1451</v>
      </c>
      <c r="G170" s="100">
        <v>0.26</v>
      </c>
      <c r="H170" s="96">
        <v>26</v>
      </c>
      <c r="I170" s="96" t="s">
        <v>1452</v>
      </c>
      <c r="J170" s="100">
        <v>0.28000000000000003</v>
      </c>
      <c r="K170" s="96" t="s">
        <v>1453</v>
      </c>
      <c r="L170" s="100">
        <v>0.42</v>
      </c>
      <c r="M170" s="98" t="s">
        <v>1454</v>
      </c>
      <c r="N170" s="100">
        <v>0.39</v>
      </c>
      <c r="O170" s="99">
        <f>(3/2.91)/(3.26/3.43)</f>
        <v>1.0846878755296945</v>
      </c>
      <c r="P170" s="99">
        <f>(2.79/2.91)/(3.03/3.43)</f>
        <v>1.0853322445646627</v>
      </c>
      <c r="Q170" s="101"/>
      <c r="R170" s="104"/>
      <c r="S170" s="101"/>
      <c r="T170" s="101"/>
    </row>
    <row r="171" spans="1:20" ht="16" customHeight="1" x14ac:dyDescent="0.35">
      <c r="A171" s="123" t="s">
        <v>974</v>
      </c>
      <c r="B171" s="96">
        <v>30</v>
      </c>
      <c r="C171" s="99" t="s">
        <v>618</v>
      </c>
      <c r="D171" s="100"/>
      <c r="E171" s="96">
        <v>29</v>
      </c>
      <c r="F171" s="96" t="s">
        <v>1455</v>
      </c>
      <c r="G171" s="100"/>
      <c r="H171" s="96">
        <v>30</v>
      </c>
      <c r="I171" s="96" t="s">
        <v>387</v>
      </c>
      <c r="J171" s="100"/>
      <c r="K171" s="98"/>
      <c r="L171" s="96"/>
      <c r="M171" s="98"/>
      <c r="N171" s="96"/>
      <c r="O171" s="96"/>
      <c r="P171" s="100"/>
      <c r="Q171" s="101"/>
    </row>
    <row r="172" spans="1:20" ht="16" customHeight="1" x14ac:dyDescent="0.35">
      <c r="A172" s="114" t="s">
        <v>1508</v>
      </c>
      <c r="B172" s="96"/>
      <c r="C172" s="101"/>
      <c r="D172" s="104"/>
      <c r="E172" s="96"/>
      <c r="F172" s="101"/>
      <c r="G172" s="100"/>
      <c r="H172" s="96"/>
      <c r="I172" s="101"/>
      <c r="J172" s="104"/>
      <c r="K172" s="101"/>
      <c r="L172" s="104"/>
      <c r="M172" s="101"/>
      <c r="N172" s="104"/>
      <c r="O172" s="101"/>
      <c r="P172" s="101"/>
      <c r="Q172" s="101"/>
    </row>
    <row r="173" spans="1:20" ht="16" customHeight="1" x14ac:dyDescent="0.35">
      <c r="A173" s="95" t="s">
        <v>1509</v>
      </c>
      <c r="B173" s="96"/>
      <c r="C173" s="101"/>
      <c r="D173" s="104"/>
      <c r="E173" s="96"/>
      <c r="F173" s="101"/>
      <c r="G173" s="100"/>
      <c r="H173" s="96"/>
      <c r="I173" s="101"/>
      <c r="J173" s="104"/>
      <c r="K173" s="101"/>
      <c r="L173" s="104"/>
      <c r="M173" s="101"/>
      <c r="N173" s="104"/>
      <c r="O173" s="96"/>
      <c r="P173" s="96"/>
      <c r="Q173" s="96"/>
    </row>
    <row r="174" spans="1:20" ht="16" customHeight="1" x14ac:dyDescent="0.35">
      <c r="A174" s="123" t="s">
        <v>5</v>
      </c>
      <c r="B174" s="96">
        <v>34</v>
      </c>
      <c r="C174" s="96" t="s">
        <v>620</v>
      </c>
      <c r="D174" s="97">
        <v>1.0999999999999999E-2</v>
      </c>
      <c r="E174" s="96">
        <v>34</v>
      </c>
      <c r="F174" s="96" t="s">
        <v>1456</v>
      </c>
      <c r="G174" s="106">
        <v>1E-3</v>
      </c>
      <c r="H174" s="96">
        <v>34</v>
      </c>
      <c r="I174" s="96" t="s">
        <v>1457</v>
      </c>
      <c r="J174" s="97">
        <v>2.4E-2</v>
      </c>
      <c r="K174" s="98" t="s">
        <v>1458</v>
      </c>
      <c r="L174" s="97">
        <v>0.48899999999999999</v>
      </c>
      <c r="M174" s="96" t="s">
        <v>1459</v>
      </c>
      <c r="N174" s="97">
        <v>0.85099999999999998</v>
      </c>
      <c r="O174" s="99">
        <f>(3.15/3.27)/(3.8/3.75)</f>
        <v>0.95062771607918894</v>
      </c>
      <c r="P174" s="99">
        <f>(2.86/3.27)/(3.29/3.75)</f>
        <v>0.9969047154290176</v>
      </c>
      <c r="Q174" s="96"/>
    </row>
    <row r="175" spans="1:20" ht="16" customHeight="1" x14ac:dyDescent="0.35">
      <c r="A175" s="123" t="s">
        <v>976</v>
      </c>
      <c r="B175" s="96">
        <v>37</v>
      </c>
      <c r="C175" s="96" t="s">
        <v>1460</v>
      </c>
      <c r="D175" s="100"/>
      <c r="E175" s="96">
        <v>37</v>
      </c>
      <c r="F175" s="96" t="s">
        <v>1461</v>
      </c>
      <c r="G175" s="97"/>
      <c r="H175" s="96">
        <v>35</v>
      </c>
      <c r="I175" s="96" t="s">
        <v>1462</v>
      </c>
      <c r="J175" s="104"/>
      <c r="K175" s="101"/>
      <c r="L175" s="102"/>
      <c r="M175" s="101"/>
      <c r="N175" s="102"/>
      <c r="O175" s="99"/>
      <c r="P175" s="99"/>
      <c r="Q175" s="96"/>
    </row>
    <row r="176" spans="1:20" ht="16" customHeight="1" x14ac:dyDescent="0.35">
      <c r="A176" s="123" t="s">
        <v>4</v>
      </c>
      <c r="B176" s="96">
        <v>37</v>
      </c>
      <c r="C176" s="96" t="s">
        <v>1374</v>
      </c>
      <c r="D176" s="97">
        <v>0.23699999999999999</v>
      </c>
      <c r="E176" s="96">
        <v>37</v>
      </c>
      <c r="F176" s="96" t="s">
        <v>1463</v>
      </c>
      <c r="G176" s="97">
        <v>0.45800000000000002</v>
      </c>
      <c r="H176" s="96">
        <v>36</v>
      </c>
      <c r="I176" s="96" t="s">
        <v>1464</v>
      </c>
      <c r="J176" s="97">
        <v>0.36099999999999999</v>
      </c>
      <c r="K176" s="96" t="s">
        <v>1465</v>
      </c>
      <c r="L176" s="97">
        <v>0.75700000000000001</v>
      </c>
      <c r="M176" s="96" t="s">
        <v>1466</v>
      </c>
      <c r="N176" s="97">
        <v>0.85599999999999998</v>
      </c>
      <c r="O176" s="99">
        <f>(3.33/3.3)/(3.46/3.51)</f>
        <v>1.0236731476615872</v>
      </c>
      <c r="P176" s="99">
        <f>(2.96/3.3)/(3.12/3.51)</f>
        <v>1.009090909090909</v>
      </c>
      <c r="Q176" s="96"/>
    </row>
    <row r="177" spans="1:17" ht="15" customHeight="1" x14ac:dyDescent="0.35">
      <c r="A177" s="123" t="s">
        <v>1008</v>
      </c>
      <c r="B177" s="96">
        <v>50</v>
      </c>
      <c r="C177" s="96" t="s">
        <v>1467</v>
      </c>
      <c r="D177" s="100"/>
      <c r="E177" s="96">
        <v>49</v>
      </c>
      <c r="F177" s="96" t="s">
        <v>1468</v>
      </c>
      <c r="G177" s="97"/>
      <c r="H177" s="96">
        <v>49</v>
      </c>
      <c r="I177" s="96" t="s">
        <v>1469</v>
      </c>
      <c r="J177" s="104"/>
      <c r="K177" s="101"/>
      <c r="L177" s="102"/>
      <c r="M177" s="101"/>
      <c r="N177" s="102"/>
      <c r="O177" s="99"/>
      <c r="P177" s="99"/>
      <c r="Q177" s="96"/>
    </row>
    <row r="178" spans="1:17" ht="16" customHeight="1" x14ac:dyDescent="0.35">
      <c r="A178" s="123" t="s">
        <v>1012</v>
      </c>
      <c r="B178" s="96">
        <v>20</v>
      </c>
      <c r="C178" s="96" t="s">
        <v>1418</v>
      </c>
      <c r="D178" s="97">
        <v>0.75900000000000001</v>
      </c>
      <c r="E178" s="96">
        <v>20</v>
      </c>
      <c r="F178" s="96" t="s">
        <v>1470</v>
      </c>
      <c r="G178" s="97">
        <v>0.83699999999999997</v>
      </c>
      <c r="H178" s="96">
        <v>20</v>
      </c>
      <c r="I178" s="96" t="s">
        <v>1471</v>
      </c>
      <c r="J178" s="100">
        <v>0.57999999999999996</v>
      </c>
      <c r="K178" s="98" t="s">
        <v>1472</v>
      </c>
      <c r="L178" s="97">
        <v>0.94399999999999995</v>
      </c>
      <c r="M178" s="96" t="s">
        <v>1396</v>
      </c>
      <c r="N178" s="97">
        <v>0.86199999999999999</v>
      </c>
      <c r="O178" s="99">
        <f>(3.13/3.22)/(3.09/3.16)</f>
        <v>0.99407023256748883</v>
      </c>
      <c r="P178" s="99">
        <f>(2.95/3.22)/(2.84/3.16)</f>
        <v>1.0193771323593737</v>
      </c>
      <c r="Q178" s="96"/>
    </row>
    <row r="179" spans="1:17" ht="16" customHeight="1" x14ac:dyDescent="0.35">
      <c r="A179" s="123" t="s">
        <v>974</v>
      </c>
      <c r="B179" s="96">
        <v>30</v>
      </c>
      <c r="C179" s="96" t="s">
        <v>1473</v>
      </c>
      <c r="D179" s="100"/>
      <c r="E179" s="96">
        <v>29</v>
      </c>
      <c r="F179" s="96" t="s">
        <v>1474</v>
      </c>
      <c r="G179" s="100"/>
      <c r="H179" s="96">
        <v>30</v>
      </c>
      <c r="I179" s="96" t="s">
        <v>1475</v>
      </c>
      <c r="J179" s="104"/>
      <c r="K179" s="101"/>
      <c r="L179" s="102"/>
      <c r="M179" s="101"/>
      <c r="N179" s="102"/>
      <c r="O179" s="99"/>
      <c r="P179" s="99"/>
      <c r="Q179" s="96"/>
    </row>
    <row r="180" spans="1:17" ht="16" customHeight="1" x14ac:dyDescent="0.35">
      <c r="A180" s="95" t="s">
        <v>1510</v>
      </c>
      <c r="B180" s="96"/>
      <c r="C180" s="96"/>
      <c r="D180" s="100"/>
      <c r="E180" s="96"/>
      <c r="F180" s="96"/>
      <c r="G180" s="100"/>
      <c r="H180" s="96"/>
      <c r="I180" s="101"/>
      <c r="J180" s="104"/>
      <c r="K180" s="101"/>
      <c r="L180" s="102"/>
      <c r="M180" s="101"/>
      <c r="N180" s="104"/>
      <c r="O180" s="99"/>
      <c r="P180" s="99"/>
      <c r="Q180" s="96"/>
    </row>
    <row r="181" spans="1:17" ht="16" customHeight="1" x14ac:dyDescent="0.35">
      <c r="A181" s="123" t="s">
        <v>5</v>
      </c>
      <c r="B181" s="96">
        <v>35</v>
      </c>
      <c r="C181" s="96" t="s">
        <v>1476</v>
      </c>
      <c r="D181" s="100">
        <v>0.52</v>
      </c>
      <c r="E181" s="96">
        <v>35</v>
      </c>
      <c r="F181" s="96" t="s">
        <v>1477</v>
      </c>
      <c r="G181" s="97">
        <v>0.38700000000000001</v>
      </c>
      <c r="H181" s="96">
        <v>34</v>
      </c>
      <c r="I181" s="96" t="s">
        <v>1478</v>
      </c>
      <c r="J181" s="97">
        <v>0.79500000000000004</v>
      </c>
      <c r="K181" s="96" t="s">
        <v>1204</v>
      </c>
      <c r="L181" s="97">
        <v>0.875</v>
      </c>
      <c r="M181" s="98" t="s">
        <v>1479</v>
      </c>
      <c r="N181" s="100">
        <v>0.79</v>
      </c>
      <c r="O181" s="99">
        <f>(3.57/3.62)/(3.37/3.47)</f>
        <v>1.0154515795858814</v>
      </c>
      <c r="P181" s="99">
        <f>(3.09/3.62)/(3.03/3.47)</f>
        <v>0.97754499206826773</v>
      </c>
      <c r="Q181" s="96"/>
    </row>
    <row r="182" spans="1:17" ht="17.149999999999999" customHeight="1" x14ac:dyDescent="0.35">
      <c r="A182" s="123" t="s">
        <v>976</v>
      </c>
      <c r="B182" s="96">
        <v>29</v>
      </c>
      <c r="C182" s="96" t="s">
        <v>1480</v>
      </c>
      <c r="D182" s="100"/>
      <c r="E182" s="96">
        <v>29</v>
      </c>
      <c r="F182" s="96" t="s">
        <v>1481</v>
      </c>
      <c r="G182" s="100"/>
      <c r="H182" s="96">
        <v>28</v>
      </c>
      <c r="I182" s="96" t="s">
        <v>1482</v>
      </c>
      <c r="J182" s="104"/>
      <c r="K182" s="101"/>
      <c r="L182" s="104"/>
      <c r="M182" s="101"/>
      <c r="N182" s="104"/>
      <c r="O182" s="99"/>
      <c r="P182" s="99"/>
      <c r="Q182" s="96"/>
    </row>
    <row r="183" spans="1:17" ht="16" customHeight="1" x14ac:dyDescent="0.35">
      <c r="A183" s="123" t="s">
        <v>4</v>
      </c>
      <c r="B183" s="96">
        <v>51</v>
      </c>
      <c r="C183" s="96" t="s">
        <v>620</v>
      </c>
      <c r="D183" s="100">
        <v>0.77</v>
      </c>
      <c r="E183" s="96">
        <v>50</v>
      </c>
      <c r="F183" s="96" t="s">
        <v>620</v>
      </c>
      <c r="G183" s="100">
        <v>0.82</v>
      </c>
      <c r="H183" s="96">
        <v>49</v>
      </c>
      <c r="I183" s="96" t="s">
        <v>1422</v>
      </c>
      <c r="J183" s="100">
        <v>0.85</v>
      </c>
      <c r="K183" s="96" t="s">
        <v>1318</v>
      </c>
      <c r="L183" s="100">
        <v>0.71</v>
      </c>
      <c r="M183" s="96" t="s">
        <v>1483</v>
      </c>
      <c r="N183" s="100">
        <v>0.94</v>
      </c>
      <c r="O183" s="99">
        <f>(3.27/3.27)/(3.23/3.33)</f>
        <v>1.0309597523219813</v>
      </c>
      <c r="P183" s="99">
        <f>(2.91/3.27)/(2.95/3.33)</f>
        <v>1.0045405069196081</v>
      </c>
      <c r="Q183" s="96"/>
    </row>
    <row r="184" spans="1:17" ht="16" customHeight="1" x14ac:dyDescent="0.35">
      <c r="A184" s="123" t="s">
        <v>1008</v>
      </c>
      <c r="B184" s="96">
        <v>37</v>
      </c>
      <c r="C184" s="96" t="s">
        <v>1484</v>
      </c>
      <c r="D184" s="100"/>
      <c r="E184" s="96">
        <v>38</v>
      </c>
      <c r="F184" s="96" t="s">
        <v>1485</v>
      </c>
      <c r="G184" s="100"/>
      <c r="H184" s="96">
        <v>38</v>
      </c>
      <c r="I184" s="96" t="s">
        <v>1486</v>
      </c>
      <c r="J184" s="104"/>
      <c r="K184" s="101"/>
      <c r="L184" s="104"/>
      <c r="M184" s="101"/>
      <c r="N184" s="104"/>
      <c r="O184" s="101"/>
      <c r="P184" s="101"/>
      <c r="Q184" s="101"/>
    </row>
    <row r="185" spans="1:17" ht="16" customHeight="1" x14ac:dyDescent="0.35">
      <c r="A185" s="123" t="s">
        <v>1012</v>
      </c>
      <c r="B185" s="96">
        <v>35</v>
      </c>
      <c r="C185" s="96" t="s">
        <v>1418</v>
      </c>
      <c r="D185" s="100">
        <v>0.89</v>
      </c>
      <c r="E185" s="96">
        <v>34</v>
      </c>
      <c r="F185" s="96" t="s">
        <v>1455</v>
      </c>
      <c r="G185" s="97">
        <v>0.59899999999999998</v>
      </c>
      <c r="H185" s="96">
        <v>34</v>
      </c>
      <c r="I185" s="96" t="s">
        <v>1487</v>
      </c>
      <c r="J185" s="97">
        <v>0.95499999999999996</v>
      </c>
      <c r="K185" s="96" t="s">
        <v>1488</v>
      </c>
      <c r="L185" s="97">
        <v>0.78500000000000003</v>
      </c>
      <c r="M185" s="98" t="s">
        <v>1489</v>
      </c>
      <c r="N185" s="100">
        <v>0.89</v>
      </c>
      <c r="O185" s="99">
        <f>(3.26/3.22)/(3.13/3.18)</f>
        <v>1.0285952414025756</v>
      </c>
      <c r="P185" s="99">
        <f>(2.88/3.22)/(2.89/3.18)</f>
        <v>0.98416041608459226</v>
      </c>
      <c r="Q185" s="101"/>
    </row>
    <row r="186" spans="1:17" ht="16" customHeight="1" x14ac:dyDescent="0.35">
      <c r="A186" s="125" t="s">
        <v>974</v>
      </c>
      <c r="B186" s="107">
        <v>24</v>
      </c>
      <c r="C186" s="107" t="s">
        <v>1490</v>
      </c>
      <c r="D186" s="108"/>
      <c r="E186" s="107">
        <v>25</v>
      </c>
      <c r="F186" s="107" t="s">
        <v>1491</v>
      </c>
      <c r="G186" s="108"/>
      <c r="H186" s="107">
        <v>25</v>
      </c>
      <c r="I186" s="107" t="s">
        <v>1492</v>
      </c>
      <c r="J186" s="109"/>
      <c r="K186" s="109"/>
      <c r="L186" s="109"/>
      <c r="M186" s="109"/>
      <c r="N186" s="110"/>
      <c r="O186" s="109"/>
      <c r="P186" s="109"/>
      <c r="Q186" s="101"/>
    </row>
    <row r="187" spans="1:17" ht="18" customHeight="1" x14ac:dyDescent="0.35">
      <c r="A187" s="145" t="s">
        <v>1493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01"/>
    </row>
    <row r="188" spans="1:17" ht="17.149999999999999" customHeight="1" x14ac:dyDescent="0.35">
      <c r="A188" s="146" t="s">
        <v>1494</v>
      </c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01"/>
    </row>
    <row r="189" spans="1:17" ht="17.149999999999999" customHeight="1" x14ac:dyDescent="0.35">
      <c r="A189" s="147" t="s">
        <v>1495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01"/>
    </row>
    <row r="190" spans="1:17" ht="17.149999999999999" customHeight="1" x14ac:dyDescent="0.35">
      <c r="A190" s="126" t="s">
        <v>1496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01"/>
    </row>
    <row r="191" spans="1:17" ht="17.149999999999999" customHeight="1" x14ac:dyDescent="0.35">
      <c r="A191" s="126" t="s">
        <v>1497</v>
      </c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01"/>
    </row>
    <row r="192" spans="1:17" ht="17.149999999999999" customHeight="1" x14ac:dyDescent="0.35">
      <c r="A192" s="126" t="s">
        <v>1498</v>
      </c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01"/>
    </row>
    <row r="193" spans="1:17" ht="17.149999999999999" customHeight="1" x14ac:dyDescent="0.35">
      <c r="A193" s="126" t="s">
        <v>1499</v>
      </c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01"/>
    </row>
    <row r="194" spans="1:17" ht="18" customHeight="1" x14ac:dyDescent="0.35">
      <c r="A194" s="101" t="s">
        <v>1500</v>
      </c>
    </row>
    <row r="195" spans="1:17" ht="18.5" x14ac:dyDescent="0.35">
      <c r="A195" s="103" t="s">
        <v>1501</v>
      </c>
      <c r="B195" s="96"/>
      <c r="C195" s="111"/>
      <c r="D195" s="112"/>
      <c r="E195" s="96"/>
      <c r="F195" s="112"/>
      <c r="G195" s="112"/>
      <c r="H195" s="96"/>
      <c r="I195" s="112"/>
      <c r="J195" s="112"/>
    </row>
    <row r="196" spans="1:17" x14ac:dyDescent="0.35">
      <c r="A196" s="96"/>
      <c r="B196" s="96"/>
      <c r="E196" s="96"/>
      <c r="H196" s="96"/>
    </row>
    <row r="197" spans="1:17" x14ac:dyDescent="0.35">
      <c r="A197" s="96"/>
      <c r="B197" s="96"/>
      <c r="C197" s="112"/>
      <c r="D197" s="112"/>
      <c r="E197" s="96"/>
      <c r="F197" s="112"/>
      <c r="G197" s="112"/>
      <c r="H197" s="96"/>
      <c r="I197" s="112"/>
      <c r="J197" s="112"/>
      <c r="K197" s="112"/>
      <c r="L197" s="112"/>
      <c r="M197" s="112"/>
      <c r="N197" s="128"/>
      <c r="O197" s="129"/>
      <c r="P197" s="129"/>
    </row>
    <row r="198" spans="1:17" x14ac:dyDescent="0.35">
      <c r="A198" s="96"/>
      <c r="B198" s="96"/>
      <c r="C198" s="112"/>
      <c r="D198" s="112"/>
      <c r="E198" s="96"/>
      <c r="F198" s="112"/>
      <c r="G198" s="112"/>
      <c r="H198" s="96"/>
      <c r="I198" s="112"/>
    </row>
    <row r="199" spans="1:17" x14ac:dyDescent="0.35">
      <c r="A199" s="96"/>
      <c r="B199" s="96"/>
      <c r="E199" s="96"/>
      <c r="H199" s="96"/>
    </row>
  </sheetData>
  <mergeCells count="10">
    <mergeCell ref="P2:P3"/>
    <mergeCell ref="A187:P187"/>
    <mergeCell ref="A188:P188"/>
    <mergeCell ref="A189:P189"/>
    <mergeCell ref="B2:D2"/>
    <mergeCell ref="E2:G2"/>
    <mergeCell ref="H2:J2"/>
    <mergeCell ref="K2:L2"/>
    <mergeCell ref="M2:N2"/>
    <mergeCell ref="O2:O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A68"/>
  <sheetViews>
    <sheetView zoomScale="70" zoomScaleNormal="70" workbookViewId="0">
      <selection activeCell="G65" sqref="G65"/>
    </sheetView>
  </sheetViews>
  <sheetFormatPr defaultColWidth="10.58203125" defaultRowHeight="15.5" x14ac:dyDescent="0.35"/>
  <cols>
    <col min="1" max="1" width="10.58203125" style="14"/>
    <col min="2" max="2" width="18.75" style="14" customWidth="1"/>
    <col min="3" max="3" width="5.58203125" style="14" customWidth="1"/>
    <col min="4" max="4" width="18.08203125" style="14" customWidth="1"/>
    <col min="5" max="5" width="6.5" style="14" customWidth="1"/>
    <col min="6" max="6" width="0.5" style="14" customWidth="1"/>
    <col min="7" max="7" width="14.83203125" style="14" customWidth="1"/>
    <col min="8" max="8" width="8" style="14" customWidth="1"/>
    <col min="9" max="9" width="0.5" style="14" customWidth="1"/>
    <col min="10" max="10" width="14.83203125" style="14" customWidth="1"/>
    <col min="11" max="11" width="10.08203125" style="14" customWidth="1"/>
    <col min="12" max="12" width="0.5" style="14" customWidth="1"/>
    <col min="13" max="13" width="14.83203125" style="14" customWidth="1"/>
    <col min="14" max="14" width="10" style="14" customWidth="1"/>
    <col min="15" max="15" width="9.33203125" style="14" hidden="1" customWidth="1"/>
    <col min="16" max="16" width="5.5" style="14" hidden="1" customWidth="1"/>
    <col min="17" max="17" width="15.33203125" style="14" bestFit="1" customWidth="1"/>
    <col min="18" max="18" width="7" style="14" customWidth="1"/>
    <col min="19" max="19" width="0.5" style="14" customWidth="1"/>
    <col min="20" max="20" width="15.33203125" style="14" bestFit="1" customWidth="1"/>
    <col min="21" max="21" width="10.58203125" style="14"/>
    <col min="22" max="22" width="0.58203125" style="14" customWidth="1"/>
    <col min="23" max="23" width="15.33203125" style="14" bestFit="1" customWidth="1"/>
    <col min="24" max="24" width="10.58203125" style="14"/>
    <col min="25" max="25" width="0.83203125" style="14" customWidth="1"/>
    <col min="26" max="26" width="15.33203125" style="14" bestFit="1" customWidth="1"/>
    <col min="27" max="16384" width="10.58203125" style="14"/>
  </cols>
  <sheetData>
    <row r="2" spans="2:27" ht="18.5" x14ac:dyDescent="0.35">
      <c r="B2" s="2" t="s">
        <v>1516</v>
      </c>
      <c r="C2" s="2"/>
      <c r="D2" s="2"/>
      <c r="E2" s="2"/>
      <c r="F2" s="2"/>
      <c r="G2" s="2"/>
      <c r="H2" s="2"/>
      <c r="I2" s="5"/>
      <c r="J2" s="5"/>
      <c r="K2" s="5"/>
      <c r="L2" s="5"/>
      <c r="M2" s="2"/>
      <c r="N2" s="2"/>
      <c r="O2" s="30"/>
      <c r="P2" s="30"/>
      <c r="Q2" s="30"/>
      <c r="R2" s="30"/>
      <c r="S2" s="30"/>
      <c r="T2" s="30"/>
    </row>
    <row r="3" spans="2:27" x14ac:dyDescent="0.35">
      <c r="B3" s="6"/>
      <c r="C3" s="6"/>
      <c r="D3" s="134" t="s">
        <v>3</v>
      </c>
      <c r="E3" s="134"/>
      <c r="F3" s="78"/>
      <c r="G3" s="134" t="s">
        <v>31</v>
      </c>
      <c r="H3" s="134"/>
      <c r="I3" s="79"/>
      <c r="J3" s="134" t="s">
        <v>23</v>
      </c>
      <c r="K3" s="134"/>
      <c r="L3" s="79"/>
      <c r="M3" s="134" t="s">
        <v>24</v>
      </c>
      <c r="N3" s="134"/>
      <c r="O3" s="80"/>
      <c r="P3" s="6"/>
      <c r="Q3" s="134" t="s">
        <v>33</v>
      </c>
      <c r="R3" s="134"/>
      <c r="S3" s="6"/>
      <c r="T3" s="134" t="s">
        <v>32</v>
      </c>
      <c r="U3" s="134"/>
      <c r="V3" s="6"/>
      <c r="W3" s="134" t="s">
        <v>971</v>
      </c>
      <c r="X3" s="134"/>
      <c r="Y3" s="6"/>
      <c r="Z3" s="134" t="s">
        <v>970</v>
      </c>
      <c r="AA3" s="134"/>
    </row>
    <row r="4" spans="2:27" x14ac:dyDescent="0.35">
      <c r="B4" s="81" t="s">
        <v>35</v>
      </c>
      <c r="C4" s="10" t="s">
        <v>0</v>
      </c>
      <c r="D4" s="10" t="s">
        <v>36</v>
      </c>
      <c r="E4" s="11" t="s">
        <v>2</v>
      </c>
      <c r="F4" s="82"/>
      <c r="G4" s="81" t="s">
        <v>36</v>
      </c>
      <c r="H4" s="11" t="s">
        <v>2</v>
      </c>
      <c r="I4" s="11"/>
      <c r="J4" s="81" t="s">
        <v>36</v>
      </c>
      <c r="K4" s="11" t="s">
        <v>2</v>
      </c>
      <c r="L4" s="11"/>
      <c r="M4" s="81" t="s">
        <v>36</v>
      </c>
      <c r="N4" s="11" t="s">
        <v>2</v>
      </c>
      <c r="O4" s="81" t="s">
        <v>35</v>
      </c>
      <c r="P4" s="10" t="s">
        <v>0</v>
      </c>
      <c r="Q4" s="7" t="s">
        <v>36</v>
      </c>
      <c r="R4" s="44" t="s">
        <v>2</v>
      </c>
      <c r="S4" s="79"/>
      <c r="T4" s="7" t="s">
        <v>36</v>
      </c>
      <c r="U4" s="44" t="s">
        <v>2</v>
      </c>
      <c r="V4" s="6"/>
      <c r="W4" s="81" t="s">
        <v>36</v>
      </c>
      <c r="X4" s="11" t="s">
        <v>2</v>
      </c>
      <c r="Y4" s="6"/>
      <c r="Z4" s="81" t="s">
        <v>36</v>
      </c>
      <c r="AA4" s="11" t="s">
        <v>2</v>
      </c>
    </row>
    <row r="5" spans="2:27" x14ac:dyDescent="0.35">
      <c r="B5" s="32" t="s">
        <v>34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6"/>
      <c r="N5" s="6"/>
      <c r="O5" s="32" t="s">
        <v>34</v>
      </c>
      <c r="P5" s="12"/>
      <c r="Q5" s="63"/>
      <c r="R5" s="83"/>
      <c r="S5" s="79"/>
      <c r="T5" s="63"/>
      <c r="U5" s="83"/>
      <c r="V5" s="5"/>
      <c r="W5" s="7"/>
      <c r="X5" s="44"/>
      <c r="Y5" s="6"/>
      <c r="Z5" s="63"/>
      <c r="AA5" s="83"/>
    </row>
    <row r="6" spans="2:27" x14ac:dyDescent="0.35">
      <c r="B6" s="46" t="s">
        <v>27</v>
      </c>
      <c r="C6" s="12">
        <v>57</v>
      </c>
      <c r="D6" s="21" t="s">
        <v>37</v>
      </c>
      <c r="E6" s="16"/>
      <c r="F6" s="12"/>
      <c r="G6" s="12" t="s">
        <v>41</v>
      </c>
      <c r="H6" s="16"/>
      <c r="I6" s="12"/>
      <c r="J6" s="12" t="s">
        <v>57</v>
      </c>
      <c r="K6" s="18"/>
      <c r="L6" s="12"/>
      <c r="M6" s="12" t="s">
        <v>61</v>
      </c>
      <c r="N6" s="16"/>
      <c r="O6" s="46" t="s">
        <v>27</v>
      </c>
      <c r="P6" s="12">
        <v>57</v>
      </c>
      <c r="Q6" s="12" t="s">
        <v>53</v>
      </c>
      <c r="R6" s="16"/>
      <c r="S6" s="12"/>
      <c r="T6" s="12" t="s">
        <v>49</v>
      </c>
      <c r="U6" s="16"/>
      <c r="V6" s="12"/>
      <c r="W6" s="12" t="s">
        <v>45</v>
      </c>
      <c r="X6" s="16"/>
      <c r="Y6" s="6"/>
      <c r="Z6" s="12" t="s">
        <v>936</v>
      </c>
      <c r="AA6" s="16"/>
    </row>
    <row r="7" spans="2:27" x14ac:dyDescent="0.35">
      <c r="B7" s="46" t="s">
        <v>25</v>
      </c>
      <c r="C7" s="12">
        <v>44</v>
      </c>
      <c r="D7" s="12" t="s">
        <v>38</v>
      </c>
      <c r="E7" s="16"/>
      <c r="F7" s="12"/>
      <c r="G7" s="12" t="s">
        <v>42</v>
      </c>
      <c r="H7" s="16"/>
      <c r="I7" s="12"/>
      <c r="J7" s="12" t="s">
        <v>58</v>
      </c>
      <c r="K7" s="16"/>
      <c r="L7" s="12"/>
      <c r="M7" s="12" t="s">
        <v>62</v>
      </c>
      <c r="N7" s="16"/>
      <c r="O7" s="46" t="s">
        <v>25</v>
      </c>
      <c r="P7" s="12">
        <v>44</v>
      </c>
      <c r="Q7" s="12" t="s">
        <v>54</v>
      </c>
      <c r="R7" s="18"/>
      <c r="S7" s="12"/>
      <c r="T7" s="12" t="s">
        <v>50</v>
      </c>
      <c r="U7" s="16"/>
      <c r="V7" s="12"/>
      <c r="W7" s="12" t="s">
        <v>46</v>
      </c>
      <c r="X7" s="16"/>
      <c r="Y7" s="6"/>
      <c r="Z7" s="12" t="s">
        <v>937</v>
      </c>
      <c r="AA7" s="16"/>
    </row>
    <row r="8" spans="2:27" x14ac:dyDescent="0.35">
      <c r="B8" s="46" t="s">
        <v>26</v>
      </c>
      <c r="C8" s="12">
        <v>38</v>
      </c>
      <c r="D8" s="12" t="s">
        <v>39</v>
      </c>
      <c r="E8" s="16"/>
      <c r="F8" s="12"/>
      <c r="G8" s="12" t="s">
        <v>43</v>
      </c>
      <c r="H8" s="16"/>
      <c r="I8" s="12"/>
      <c r="J8" s="12" t="s">
        <v>59</v>
      </c>
      <c r="K8" s="16"/>
      <c r="L8" s="12"/>
      <c r="M8" s="12" t="s">
        <v>63</v>
      </c>
      <c r="N8" s="16"/>
      <c r="O8" s="46" t="s">
        <v>26</v>
      </c>
      <c r="P8" s="12">
        <v>38</v>
      </c>
      <c r="Q8" s="12" t="s">
        <v>55</v>
      </c>
      <c r="R8" s="16"/>
      <c r="S8" s="12"/>
      <c r="T8" s="21" t="s">
        <v>51</v>
      </c>
      <c r="U8" s="18"/>
      <c r="V8" s="12"/>
      <c r="W8" s="12" t="s">
        <v>47</v>
      </c>
      <c r="X8" s="16"/>
      <c r="Y8" s="6"/>
      <c r="Z8" s="12" t="s">
        <v>938</v>
      </c>
      <c r="AA8" s="16"/>
    </row>
    <row r="9" spans="2:27" x14ac:dyDescent="0.35">
      <c r="B9" s="46" t="s">
        <v>28</v>
      </c>
      <c r="C9" s="12">
        <v>36</v>
      </c>
      <c r="D9" s="12" t="s">
        <v>40</v>
      </c>
      <c r="E9" s="18">
        <v>0.74299999999999999</v>
      </c>
      <c r="F9" s="12"/>
      <c r="G9" s="12" t="s">
        <v>44</v>
      </c>
      <c r="H9" s="16">
        <v>0.97</v>
      </c>
      <c r="I9" s="12"/>
      <c r="J9" s="12" t="s">
        <v>60</v>
      </c>
      <c r="K9" s="18">
        <v>0.64100000000000001</v>
      </c>
      <c r="L9" s="12"/>
      <c r="M9" s="12" t="s">
        <v>64</v>
      </c>
      <c r="N9" s="18">
        <v>0.59299999999999997</v>
      </c>
      <c r="O9" s="46" t="s">
        <v>28</v>
      </c>
      <c r="P9" s="12">
        <v>36</v>
      </c>
      <c r="Q9" s="12" t="s">
        <v>56</v>
      </c>
      <c r="R9" s="18">
        <v>0.55600000000000005</v>
      </c>
      <c r="S9" s="12"/>
      <c r="T9" s="21" t="s">
        <v>52</v>
      </c>
      <c r="U9" s="16">
        <v>0.39</v>
      </c>
      <c r="V9" s="12"/>
      <c r="W9" s="21" t="s">
        <v>48</v>
      </c>
      <c r="X9" s="18">
        <v>0.85899999999999999</v>
      </c>
      <c r="Y9" s="6"/>
      <c r="Z9" s="21" t="s">
        <v>939</v>
      </c>
      <c r="AA9" s="18">
        <v>0.86</v>
      </c>
    </row>
    <row r="10" spans="2:27" x14ac:dyDescent="0.35">
      <c r="B10" s="32" t="s">
        <v>6</v>
      </c>
      <c r="C10" s="12"/>
      <c r="D10" s="12"/>
      <c r="E10" s="16"/>
      <c r="F10" s="12"/>
      <c r="G10" s="12"/>
      <c r="H10" s="16"/>
      <c r="I10" s="12"/>
      <c r="J10" s="6"/>
      <c r="K10" s="23"/>
      <c r="L10" s="12"/>
      <c r="M10" s="6"/>
      <c r="N10" s="23"/>
      <c r="O10" s="32" t="s">
        <v>6</v>
      </c>
      <c r="P10" s="12"/>
      <c r="Q10" s="12"/>
      <c r="R10" s="16"/>
      <c r="S10" s="12"/>
      <c r="T10" s="12"/>
      <c r="U10" s="16"/>
      <c r="V10" s="12"/>
      <c r="W10" s="12"/>
      <c r="X10" s="16"/>
      <c r="Y10" s="6"/>
      <c r="Z10" s="12"/>
      <c r="AA10" s="16"/>
    </row>
    <row r="11" spans="2:27" x14ac:dyDescent="0.35">
      <c r="B11" s="46" t="s">
        <v>874</v>
      </c>
      <c r="C11" s="12">
        <v>109</v>
      </c>
      <c r="D11" s="21" t="s">
        <v>65</v>
      </c>
      <c r="E11" s="16"/>
      <c r="F11" s="12"/>
      <c r="G11" s="12" t="s">
        <v>67</v>
      </c>
      <c r="H11" s="16"/>
      <c r="I11" s="12"/>
      <c r="J11" s="12" t="s">
        <v>75</v>
      </c>
      <c r="K11" s="18"/>
      <c r="L11" s="12"/>
      <c r="M11" s="12" t="s">
        <v>77</v>
      </c>
      <c r="N11" s="16"/>
      <c r="O11" s="46" t="s">
        <v>874</v>
      </c>
      <c r="P11" s="12">
        <v>109</v>
      </c>
      <c r="Q11" s="12" t="s">
        <v>73</v>
      </c>
      <c r="R11" s="18"/>
      <c r="S11" s="12"/>
      <c r="T11" s="12" t="s">
        <v>71</v>
      </c>
      <c r="U11" s="18"/>
      <c r="V11" s="12"/>
      <c r="W11" s="12" t="s">
        <v>69</v>
      </c>
      <c r="X11" s="16"/>
      <c r="Y11" s="6"/>
      <c r="Z11" s="12" t="s">
        <v>940</v>
      </c>
      <c r="AA11" s="16"/>
    </row>
    <row r="12" spans="2:27" x14ac:dyDescent="0.35">
      <c r="B12" s="46" t="s">
        <v>875</v>
      </c>
      <c r="C12" s="12">
        <v>66</v>
      </c>
      <c r="D12" s="21" t="s">
        <v>66</v>
      </c>
      <c r="E12" s="18">
        <v>2.9000000000000001E-2</v>
      </c>
      <c r="F12" s="12"/>
      <c r="G12" s="12" t="s">
        <v>68</v>
      </c>
      <c r="H12" s="84">
        <v>6.9999999999999999E-4</v>
      </c>
      <c r="I12" s="85"/>
      <c r="J12" s="12" t="s">
        <v>76</v>
      </c>
      <c r="K12" s="86">
        <v>5.0000000000000001E-4</v>
      </c>
      <c r="L12" s="85"/>
      <c r="M12" s="12" t="s">
        <v>78</v>
      </c>
      <c r="N12" s="18">
        <v>0.13400000000000001</v>
      </c>
      <c r="O12" s="46" t="s">
        <v>875</v>
      </c>
      <c r="P12" s="12">
        <v>66</v>
      </c>
      <c r="Q12" s="12" t="s">
        <v>74</v>
      </c>
      <c r="R12" s="18">
        <v>0.20200000000000001</v>
      </c>
      <c r="S12" s="12"/>
      <c r="T12" s="12" t="s">
        <v>72</v>
      </c>
      <c r="U12" s="18">
        <v>3.1E-2</v>
      </c>
      <c r="V12" s="12"/>
      <c r="W12" s="21" t="s">
        <v>70</v>
      </c>
      <c r="X12" s="86">
        <v>4.0000000000000002E-4</v>
      </c>
      <c r="Y12" s="6"/>
      <c r="Z12" s="21" t="s">
        <v>941</v>
      </c>
      <c r="AA12" s="18">
        <v>0.47</v>
      </c>
    </row>
    <row r="13" spans="2:27" x14ac:dyDescent="0.35">
      <c r="B13" s="32" t="s">
        <v>8</v>
      </c>
      <c r="C13" s="12"/>
      <c r="D13" s="12"/>
      <c r="E13" s="16"/>
      <c r="F13" s="12"/>
      <c r="G13" s="12"/>
      <c r="H13" s="16"/>
      <c r="I13" s="12"/>
      <c r="J13" s="12"/>
      <c r="K13" s="16"/>
      <c r="L13" s="12"/>
      <c r="M13" s="12"/>
      <c r="N13" s="16"/>
      <c r="O13" s="32" t="s">
        <v>8</v>
      </c>
      <c r="P13" s="12"/>
      <c r="Q13" s="12"/>
      <c r="R13" s="16"/>
      <c r="S13" s="21"/>
      <c r="T13" s="12"/>
      <c r="U13" s="16"/>
      <c r="V13" s="12"/>
      <c r="W13" s="12"/>
      <c r="X13" s="16"/>
      <c r="Y13" s="6"/>
      <c r="Z13" s="12"/>
      <c r="AA13" s="16"/>
    </row>
    <row r="14" spans="2:27" x14ac:dyDescent="0.35">
      <c r="B14" s="46" t="s">
        <v>872</v>
      </c>
      <c r="C14" s="12">
        <v>103</v>
      </c>
      <c r="D14" s="12" t="s">
        <v>79</v>
      </c>
      <c r="E14" s="16"/>
      <c r="F14" s="12"/>
      <c r="G14" s="12" t="s">
        <v>81</v>
      </c>
      <c r="H14" s="16"/>
      <c r="I14" s="12"/>
      <c r="J14" s="12" t="s">
        <v>89</v>
      </c>
      <c r="K14" s="18"/>
      <c r="L14" s="12"/>
      <c r="M14" s="12" t="s">
        <v>91</v>
      </c>
      <c r="N14" s="18"/>
      <c r="O14" s="46" t="s">
        <v>872</v>
      </c>
      <c r="P14" s="12">
        <v>103</v>
      </c>
      <c r="Q14" s="12" t="s">
        <v>87</v>
      </c>
      <c r="R14" s="18"/>
      <c r="S14" s="12"/>
      <c r="T14" s="12" t="s">
        <v>85</v>
      </c>
      <c r="U14" s="16"/>
      <c r="V14" s="12"/>
      <c r="W14" s="12" t="s">
        <v>83</v>
      </c>
      <c r="X14" s="16"/>
      <c r="Y14" s="6"/>
      <c r="Z14" s="12" t="s">
        <v>942</v>
      </c>
      <c r="AA14" s="16"/>
    </row>
    <row r="15" spans="2:27" x14ac:dyDescent="0.35">
      <c r="B15" s="46" t="s">
        <v>873</v>
      </c>
      <c r="C15" s="12">
        <v>72</v>
      </c>
      <c r="D15" s="12" t="s">
        <v>80</v>
      </c>
      <c r="E15" s="18">
        <v>7.0999999999999994E-2</v>
      </c>
      <c r="F15" s="12"/>
      <c r="G15" s="12" t="s">
        <v>82</v>
      </c>
      <c r="H15" s="18">
        <v>0.11</v>
      </c>
      <c r="I15" s="65"/>
      <c r="J15" s="21" t="s">
        <v>90</v>
      </c>
      <c r="K15" s="18">
        <v>0.625</v>
      </c>
      <c r="L15" s="65"/>
      <c r="M15" s="12" t="s">
        <v>92</v>
      </c>
      <c r="N15" s="18">
        <v>0.03</v>
      </c>
      <c r="O15" s="46" t="s">
        <v>873</v>
      </c>
      <c r="P15" s="12">
        <v>72</v>
      </c>
      <c r="Q15" s="12" t="s">
        <v>88</v>
      </c>
      <c r="R15" s="18">
        <v>0.28499999999999998</v>
      </c>
      <c r="S15" s="12"/>
      <c r="T15" s="12" t="s">
        <v>86</v>
      </c>
      <c r="U15" s="18">
        <v>7.5999999999999998E-2</v>
      </c>
      <c r="V15" s="12"/>
      <c r="W15" s="12" t="s">
        <v>84</v>
      </c>
      <c r="X15" s="18">
        <v>0.78400000000000003</v>
      </c>
      <c r="Y15" s="6"/>
      <c r="Z15" s="12" t="s">
        <v>943</v>
      </c>
      <c r="AA15" s="18">
        <v>0.02</v>
      </c>
    </row>
    <row r="16" spans="2:27" ht="18.5" x14ac:dyDescent="0.35">
      <c r="B16" s="32" t="s">
        <v>29</v>
      </c>
      <c r="C16" s="12"/>
      <c r="D16" s="12"/>
      <c r="E16" s="16"/>
      <c r="F16" s="12"/>
      <c r="G16" s="12"/>
      <c r="H16" s="16"/>
      <c r="I16" s="12"/>
      <c r="J16" s="12"/>
      <c r="K16" s="16"/>
      <c r="L16" s="12"/>
      <c r="M16" s="12"/>
      <c r="N16" s="16"/>
      <c r="O16" s="32" t="s">
        <v>29</v>
      </c>
      <c r="P16" s="12"/>
      <c r="Q16" s="12"/>
      <c r="R16" s="16"/>
      <c r="S16" s="21"/>
      <c r="T16" s="12"/>
      <c r="U16" s="16"/>
      <c r="V16" s="21"/>
      <c r="W16" s="12"/>
      <c r="X16" s="16"/>
      <c r="Y16" s="6"/>
      <c r="Z16" s="12"/>
      <c r="AA16" s="16"/>
    </row>
    <row r="17" spans="2:27" x14ac:dyDescent="0.35">
      <c r="B17" s="46" t="s">
        <v>876</v>
      </c>
      <c r="C17" s="12">
        <v>8</v>
      </c>
      <c r="D17" s="21" t="s">
        <v>93</v>
      </c>
      <c r="E17" s="18"/>
      <c r="F17" s="21"/>
      <c r="G17" s="12" t="s">
        <v>99</v>
      </c>
      <c r="H17" s="16"/>
      <c r="I17" s="12"/>
      <c r="J17" s="21" t="s">
        <v>124</v>
      </c>
      <c r="K17" s="16"/>
      <c r="L17" s="12"/>
      <c r="M17" s="12" t="s">
        <v>130</v>
      </c>
      <c r="N17" s="16"/>
      <c r="O17" s="46" t="s">
        <v>876</v>
      </c>
      <c r="P17" s="12">
        <v>8</v>
      </c>
      <c r="Q17" s="21" t="s">
        <v>118</v>
      </c>
      <c r="R17" s="16"/>
      <c r="S17" s="12"/>
      <c r="T17" s="12" t="s">
        <v>112</v>
      </c>
      <c r="U17" s="16"/>
      <c r="V17" s="12"/>
      <c r="W17" s="21" t="s">
        <v>106</v>
      </c>
      <c r="X17" s="16"/>
      <c r="Y17" s="6"/>
      <c r="Z17" s="21" t="s">
        <v>944</v>
      </c>
      <c r="AA17" s="16"/>
    </row>
    <row r="18" spans="2:27" x14ac:dyDescent="0.35">
      <c r="B18" s="46" t="s">
        <v>877</v>
      </c>
      <c r="C18" s="12">
        <v>24</v>
      </c>
      <c r="D18" s="12" t="s">
        <v>94</v>
      </c>
      <c r="E18" s="16"/>
      <c r="F18" s="12"/>
      <c r="G18" s="12" t="s">
        <v>100</v>
      </c>
      <c r="H18" s="16"/>
      <c r="I18" s="12"/>
      <c r="J18" s="12" t="s">
        <v>125</v>
      </c>
      <c r="K18" s="16"/>
      <c r="L18" s="12"/>
      <c r="M18" s="12" t="s">
        <v>131</v>
      </c>
      <c r="N18" s="16"/>
      <c r="O18" s="46" t="s">
        <v>877</v>
      </c>
      <c r="P18" s="12">
        <v>24</v>
      </c>
      <c r="Q18" s="12" t="s">
        <v>119</v>
      </c>
      <c r="R18" s="16"/>
      <c r="S18" s="21"/>
      <c r="T18" s="12" t="s">
        <v>113</v>
      </c>
      <c r="U18" s="16"/>
      <c r="V18" s="12"/>
      <c r="W18" s="12" t="s">
        <v>107</v>
      </c>
      <c r="X18" s="18"/>
      <c r="Y18" s="6"/>
      <c r="Z18" s="12" t="s">
        <v>945</v>
      </c>
      <c r="AA18" s="18"/>
    </row>
    <row r="19" spans="2:27" x14ac:dyDescent="0.35">
      <c r="B19" s="46" t="s">
        <v>878</v>
      </c>
      <c r="C19" s="12">
        <v>36</v>
      </c>
      <c r="D19" s="12" t="s">
        <v>95</v>
      </c>
      <c r="E19" s="18"/>
      <c r="F19" s="21"/>
      <c r="G19" s="12" t="s">
        <v>101</v>
      </c>
      <c r="H19" s="18"/>
      <c r="I19" s="21"/>
      <c r="J19" s="21" t="s">
        <v>126</v>
      </c>
      <c r="K19" s="18"/>
      <c r="L19" s="21"/>
      <c r="M19" s="12" t="s">
        <v>132</v>
      </c>
      <c r="N19" s="16"/>
      <c r="O19" s="46" t="s">
        <v>878</v>
      </c>
      <c r="P19" s="12">
        <v>36</v>
      </c>
      <c r="Q19" s="12" t="s">
        <v>120</v>
      </c>
      <c r="R19" s="16"/>
      <c r="S19" s="12"/>
      <c r="T19" s="21" t="s">
        <v>114</v>
      </c>
      <c r="U19" s="16"/>
      <c r="V19" s="12"/>
      <c r="W19" s="12" t="s">
        <v>108</v>
      </c>
      <c r="X19" s="16"/>
      <c r="Y19" s="6"/>
      <c r="Z19" s="12" t="s">
        <v>946</v>
      </c>
      <c r="AA19" s="16"/>
    </row>
    <row r="20" spans="2:27" x14ac:dyDescent="0.35">
      <c r="B20" s="46" t="s">
        <v>879</v>
      </c>
      <c r="C20" s="12">
        <v>45</v>
      </c>
      <c r="D20" s="12" t="s">
        <v>96</v>
      </c>
      <c r="E20" s="18"/>
      <c r="F20" s="21"/>
      <c r="G20" s="12" t="s">
        <v>102</v>
      </c>
      <c r="H20" s="16"/>
      <c r="I20" s="12"/>
      <c r="J20" s="12" t="s">
        <v>127</v>
      </c>
      <c r="K20" s="16"/>
      <c r="L20" s="12"/>
      <c r="M20" s="12" t="s">
        <v>133</v>
      </c>
      <c r="N20" s="16"/>
      <c r="O20" s="46" t="s">
        <v>879</v>
      </c>
      <c r="P20" s="12">
        <v>45</v>
      </c>
      <c r="Q20" s="21" t="s">
        <v>121</v>
      </c>
      <c r="R20" s="16"/>
      <c r="S20" s="12"/>
      <c r="T20" s="12" t="s">
        <v>115</v>
      </c>
      <c r="U20" s="16"/>
      <c r="V20" s="12"/>
      <c r="W20" s="12" t="s">
        <v>109</v>
      </c>
      <c r="X20" s="16"/>
      <c r="Y20" s="6"/>
      <c r="Z20" s="12" t="s">
        <v>947</v>
      </c>
      <c r="AA20" s="16"/>
    </row>
    <row r="21" spans="2:27" x14ac:dyDescent="0.35">
      <c r="B21" s="46" t="s">
        <v>880</v>
      </c>
      <c r="C21" s="12">
        <v>38</v>
      </c>
      <c r="D21" s="21" t="s">
        <v>97</v>
      </c>
      <c r="E21" s="16"/>
      <c r="F21" s="12"/>
      <c r="G21" s="12" t="s">
        <v>103</v>
      </c>
      <c r="H21" s="16"/>
      <c r="I21" s="12"/>
      <c r="J21" s="12" t="s">
        <v>128</v>
      </c>
      <c r="K21" s="16"/>
      <c r="L21" s="12"/>
      <c r="M21" s="12" t="s">
        <v>134</v>
      </c>
      <c r="N21" s="16"/>
      <c r="O21" s="46" t="s">
        <v>880</v>
      </c>
      <c r="P21" s="12">
        <v>38</v>
      </c>
      <c r="Q21" s="12" t="s">
        <v>122</v>
      </c>
      <c r="R21" s="16"/>
      <c r="S21" s="12"/>
      <c r="T21" s="12" t="s">
        <v>116</v>
      </c>
      <c r="U21" s="18"/>
      <c r="V21" s="12"/>
      <c r="W21" s="12" t="s">
        <v>110</v>
      </c>
      <c r="X21" s="16"/>
      <c r="Y21" s="6"/>
      <c r="Z21" s="12" t="s">
        <v>105</v>
      </c>
      <c r="AA21" s="16"/>
    </row>
    <row r="22" spans="2:27" x14ac:dyDescent="0.35">
      <c r="B22" s="46" t="s">
        <v>881</v>
      </c>
      <c r="C22" s="12">
        <v>24</v>
      </c>
      <c r="D22" s="12" t="s">
        <v>98</v>
      </c>
      <c r="E22" s="18">
        <v>5.7000000000000002E-2</v>
      </c>
      <c r="F22" s="65"/>
      <c r="G22" s="12" t="s">
        <v>104</v>
      </c>
      <c r="H22" s="18">
        <v>0.53900000000000003</v>
      </c>
      <c r="I22" s="12"/>
      <c r="J22" s="12" t="s">
        <v>129</v>
      </c>
      <c r="K22" s="18">
        <v>0.72</v>
      </c>
      <c r="L22" s="12"/>
      <c r="M22" s="12" t="s">
        <v>135</v>
      </c>
      <c r="N22" s="18">
        <v>0.109</v>
      </c>
      <c r="O22" s="46" t="s">
        <v>881</v>
      </c>
      <c r="P22" s="12">
        <v>24</v>
      </c>
      <c r="Q22" s="12" t="s">
        <v>123</v>
      </c>
      <c r="R22" s="18">
        <v>0.371</v>
      </c>
      <c r="S22" s="21"/>
      <c r="T22" s="12" t="s">
        <v>117</v>
      </c>
      <c r="U22" s="18">
        <v>4.2000000000000003E-2</v>
      </c>
      <c r="V22" s="12"/>
      <c r="W22" s="21" t="s">
        <v>111</v>
      </c>
      <c r="X22" s="18">
        <v>0.755</v>
      </c>
      <c r="Y22" s="6"/>
      <c r="Z22" s="21" t="s">
        <v>948</v>
      </c>
      <c r="AA22" s="18">
        <v>0.28999999999999998</v>
      </c>
    </row>
    <row r="23" spans="2:27" x14ac:dyDescent="0.35">
      <c r="B23" s="32" t="s">
        <v>9</v>
      </c>
      <c r="C23" s="12"/>
      <c r="D23" s="12"/>
      <c r="E23" s="16"/>
      <c r="F23" s="12"/>
      <c r="G23" s="12"/>
      <c r="H23" s="16"/>
      <c r="I23" s="12"/>
      <c r="J23" s="12"/>
      <c r="K23" s="16"/>
      <c r="L23" s="12"/>
      <c r="M23" s="12"/>
      <c r="N23" s="16"/>
      <c r="O23" s="32" t="s">
        <v>9</v>
      </c>
      <c r="P23" s="12"/>
      <c r="Q23" s="12"/>
      <c r="R23" s="16"/>
      <c r="S23" s="12"/>
      <c r="T23" s="12"/>
      <c r="U23" s="16"/>
      <c r="V23" s="21"/>
      <c r="W23" s="12"/>
      <c r="X23" s="16"/>
      <c r="Y23" s="6"/>
      <c r="Z23" s="12"/>
      <c r="AA23" s="16"/>
    </row>
    <row r="24" spans="2:27" x14ac:dyDescent="0.35">
      <c r="B24" s="46" t="s">
        <v>10</v>
      </c>
      <c r="C24" s="12">
        <v>100</v>
      </c>
      <c r="D24" s="12" t="s">
        <v>136</v>
      </c>
      <c r="E24" s="16"/>
      <c r="F24" s="12"/>
      <c r="G24" s="12" t="s">
        <v>139</v>
      </c>
      <c r="H24" s="16"/>
      <c r="I24" s="12"/>
      <c r="J24" s="12" t="s">
        <v>151</v>
      </c>
      <c r="K24" s="18"/>
      <c r="L24" s="12"/>
      <c r="M24" s="21" t="s">
        <v>154</v>
      </c>
      <c r="N24" s="16"/>
      <c r="O24" s="46" t="s">
        <v>10</v>
      </c>
      <c r="P24" s="12">
        <v>100</v>
      </c>
      <c r="Q24" s="12" t="s">
        <v>148</v>
      </c>
      <c r="R24" s="18"/>
      <c r="S24" s="12"/>
      <c r="T24" s="12" t="s">
        <v>145</v>
      </c>
      <c r="U24" s="16"/>
      <c r="V24" s="12"/>
      <c r="W24" s="12" t="s">
        <v>142</v>
      </c>
      <c r="X24" s="16"/>
      <c r="Y24" s="6"/>
      <c r="Z24" s="12" t="s">
        <v>949</v>
      </c>
      <c r="AA24" s="16"/>
    </row>
    <row r="25" spans="2:27" x14ac:dyDescent="0.35">
      <c r="B25" s="46" t="s">
        <v>11</v>
      </c>
      <c r="C25" s="12">
        <v>63</v>
      </c>
      <c r="D25" s="12" t="s">
        <v>137</v>
      </c>
      <c r="E25" s="16"/>
      <c r="F25" s="12"/>
      <c r="G25" s="12" t="s">
        <v>140</v>
      </c>
      <c r="H25" s="16"/>
      <c r="I25" s="12"/>
      <c r="J25" s="12" t="s">
        <v>152</v>
      </c>
      <c r="K25" s="16"/>
      <c r="L25" s="12"/>
      <c r="M25" s="12" t="s">
        <v>155</v>
      </c>
      <c r="N25" s="16"/>
      <c r="O25" s="46" t="s">
        <v>11</v>
      </c>
      <c r="P25" s="12">
        <v>63</v>
      </c>
      <c r="Q25" s="12" t="s">
        <v>149</v>
      </c>
      <c r="R25" s="16"/>
      <c r="S25" s="12"/>
      <c r="T25" s="12" t="s">
        <v>146</v>
      </c>
      <c r="U25" s="16"/>
      <c r="V25" s="12"/>
      <c r="W25" s="12" t="s">
        <v>143</v>
      </c>
      <c r="X25" s="18"/>
      <c r="Y25" s="6"/>
      <c r="Z25" s="12" t="s">
        <v>950</v>
      </c>
      <c r="AA25" s="18"/>
    </row>
    <row r="26" spans="2:27" x14ac:dyDescent="0.35">
      <c r="B26" s="46" t="s">
        <v>7</v>
      </c>
      <c r="C26" s="12">
        <v>12</v>
      </c>
      <c r="D26" s="12" t="s">
        <v>138</v>
      </c>
      <c r="E26" s="18">
        <v>0.56399999999999995</v>
      </c>
      <c r="F26" s="12"/>
      <c r="G26" s="21" t="s">
        <v>141</v>
      </c>
      <c r="H26" s="18">
        <v>0.498</v>
      </c>
      <c r="I26" s="65"/>
      <c r="J26" s="12" t="s">
        <v>153</v>
      </c>
      <c r="K26" s="18">
        <v>0.13200000000000001</v>
      </c>
      <c r="L26" s="65"/>
      <c r="M26" s="12" t="s">
        <v>156</v>
      </c>
      <c r="N26" s="18">
        <v>0.57099999999999995</v>
      </c>
      <c r="O26" s="46" t="s">
        <v>7</v>
      </c>
      <c r="P26" s="12">
        <v>12</v>
      </c>
      <c r="Q26" s="12" t="s">
        <v>150</v>
      </c>
      <c r="R26" s="18">
        <v>5.7000000000000002E-2</v>
      </c>
      <c r="S26" s="12"/>
      <c r="T26" s="12" t="s">
        <v>147</v>
      </c>
      <c r="U26" s="16">
        <v>0.51</v>
      </c>
      <c r="V26" s="12"/>
      <c r="W26" s="12" t="s">
        <v>144</v>
      </c>
      <c r="X26" s="18">
        <v>5.1999999999999998E-2</v>
      </c>
      <c r="Y26" s="6"/>
      <c r="Z26" s="12" t="s">
        <v>951</v>
      </c>
      <c r="AA26" s="18">
        <v>0.59</v>
      </c>
    </row>
    <row r="27" spans="2:27" x14ac:dyDescent="0.35">
      <c r="B27" s="32" t="s">
        <v>896</v>
      </c>
      <c r="C27" s="12"/>
      <c r="D27" s="12"/>
      <c r="E27" s="16"/>
      <c r="F27" s="12"/>
      <c r="G27" s="12"/>
      <c r="H27" s="16"/>
      <c r="I27" s="12"/>
      <c r="J27" s="12"/>
      <c r="K27" s="16"/>
      <c r="L27" s="12"/>
      <c r="M27" s="12"/>
      <c r="N27" s="16"/>
      <c r="O27" s="32" t="s">
        <v>896</v>
      </c>
      <c r="P27" s="12"/>
      <c r="Q27" s="12"/>
      <c r="R27" s="16"/>
      <c r="S27" s="12"/>
      <c r="T27" s="12"/>
      <c r="U27" s="16"/>
      <c r="V27" s="21"/>
      <c r="W27" s="12"/>
      <c r="X27" s="16"/>
      <c r="Y27" s="6"/>
      <c r="Z27" s="12"/>
      <c r="AA27" s="16"/>
    </row>
    <row r="28" spans="2:27" x14ac:dyDescent="0.35">
      <c r="B28" s="46" t="s">
        <v>12</v>
      </c>
      <c r="C28" s="12">
        <v>61</v>
      </c>
      <c r="D28" s="12" t="s">
        <v>157</v>
      </c>
      <c r="E28" s="16"/>
      <c r="F28" s="12"/>
      <c r="G28" s="12" t="s">
        <v>162</v>
      </c>
      <c r="H28" s="16"/>
      <c r="I28" s="12"/>
      <c r="J28" s="12" t="s">
        <v>182</v>
      </c>
      <c r="K28" s="16"/>
      <c r="L28" s="12"/>
      <c r="M28" s="12" t="s">
        <v>187</v>
      </c>
      <c r="N28" s="18"/>
      <c r="O28" s="46" t="s">
        <v>12</v>
      </c>
      <c r="P28" s="12">
        <v>61</v>
      </c>
      <c r="Q28" s="12" t="s">
        <v>177</v>
      </c>
      <c r="R28" s="18"/>
      <c r="S28" s="12"/>
      <c r="T28" s="12" t="s">
        <v>172</v>
      </c>
      <c r="U28" s="18"/>
      <c r="V28" s="12"/>
      <c r="W28" s="12" t="s">
        <v>167</v>
      </c>
      <c r="X28" s="16"/>
      <c r="Y28" s="6"/>
      <c r="Z28" s="12" t="s">
        <v>107</v>
      </c>
      <c r="AA28" s="16"/>
    </row>
    <row r="29" spans="2:27" x14ac:dyDescent="0.35">
      <c r="B29" s="46" t="s">
        <v>13</v>
      </c>
      <c r="C29" s="12">
        <v>38</v>
      </c>
      <c r="D29" s="12" t="s">
        <v>158</v>
      </c>
      <c r="E29" s="16"/>
      <c r="F29" s="12"/>
      <c r="G29" s="12" t="s">
        <v>163</v>
      </c>
      <c r="H29" s="16"/>
      <c r="I29" s="12"/>
      <c r="J29" s="12" t="s">
        <v>183</v>
      </c>
      <c r="K29" s="16"/>
      <c r="L29" s="12"/>
      <c r="M29" s="12" t="s">
        <v>188</v>
      </c>
      <c r="N29" s="16"/>
      <c r="O29" s="46" t="s">
        <v>13</v>
      </c>
      <c r="P29" s="12">
        <v>38</v>
      </c>
      <c r="Q29" s="12" t="s">
        <v>178</v>
      </c>
      <c r="R29" s="16"/>
      <c r="S29" s="12"/>
      <c r="T29" s="12" t="s">
        <v>173</v>
      </c>
      <c r="U29" s="18"/>
      <c r="V29" s="12"/>
      <c r="W29" s="12" t="s">
        <v>168</v>
      </c>
      <c r="X29" s="18"/>
      <c r="Y29" s="6"/>
      <c r="Z29" s="12" t="s">
        <v>952</v>
      </c>
      <c r="AA29" s="18"/>
    </row>
    <row r="30" spans="2:27" x14ac:dyDescent="0.35">
      <c r="B30" s="46" t="s">
        <v>14</v>
      </c>
      <c r="C30" s="12">
        <v>32</v>
      </c>
      <c r="D30" s="21" t="s">
        <v>159</v>
      </c>
      <c r="E30" s="16"/>
      <c r="F30" s="12"/>
      <c r="G30" s="12" t="s">
        <v>164</v>
      </c>
      <c r="H30" s="16"/>
      <c r="I30" s="12"/>
      <c r="J30" s="12" t="s">
        <v>184</v>
      </c>
      <c r="K30" s="18"/>
      <c r="L30" s="12"/>
      <c r="M30" s="21" t="s">
        <v>189</v>
      </c>
      <c r="N30" s="16"/>
      <c r="O30" s="46" t="s">
        <v>14</v>
      </c>
      <c r="P30" s="12">
        <v>32</v>
      </c>
      <c r="Q30" s="12" t="s">
        <v>179</v>
      </c>
      <c r="R30" s="18"/>
      <c r="S30" s="12"/>
      <c r="T30" s="12" t="s">
        <v>174</v>
      </c>
      <c r="U30" s="16"/>
      <c r="V30" s="12"/>
      <c r="W30" s="12" t="s">
        <v>169</v>
      </c>
      <c r="X30" s="16"/>
      <c r="Y30" s="6"/>
      <c r="Z30" s="12" t="s">
        <v>953</v>
      </c>
      <c r="AA30" s="16"/>
    </row>
    <row r="31" spans="2:27" x14ac:dyDescent="0.35">
      <c r="B31" s="46" t="s">
        <v>15</v>
      </c>
      <c r="C31" s="12">
        <v>26</v>
      </c>
      <c r="D31" s="12" t="s">
        <v>160</v>
      </c>
      <c r="E31" s="16"/>
      <c r="F31" s="12"/>
      <c r="G31" s="12" t="s">
        <v>165</v>
      </c>
      <c r="H31" s="16"/>
      <c r="I31" s="12"/>
      <c r="J31" s="12" t="s">
        <v>185</v>
      </c>
      <c r="K31" s="16"/>
      <c r="L31" s="12"/>
      <c r="M31" s="12" t="s">
        <v>190</v>
      </c>
      <c r="N31" s="16"/>
      <c r="O31" s="46" t="s">
        <v>15</v>
      </c>
      <c r="P31" s="12">
        <v>26</v>
      </c>
      <c r="Q31" s="12" t="s">
        <v>180</v>
      </c>
      <c r="R31" s="16"/>
      <c r="S31" s="12"/>
      <c r="T31" s="12" t="s">
        <v>175</v>
      </c>
      <c r="U31" s="16"/>
      <c r="V31" s="12"/>
      <c r="W31" s="12" t="s">
        <v>170</v>
      </c>
      <c r="X31" s="16"/>
      <c r="Y31" s="6"/>
      <c r="Z31" s="12" t="s">
        <v>954</v>
      </c>
      <c r="AA31" s="16"/>
    </row>
    <row r="32" spans="2:27" x14ac:dyDescent="0.35">
      <c r="B32" s="46" t="s">
        <v>16</v>
      </c>
      <c r="C32" s="12">
        <v>18</v>
      </c>
      <c r="D32" s="12" t="s">
        <v>161</v>
      </c>
      <c r="E32" s="18">
        <v>0.95199999999999996</v>
      </c>
      <c r="F32" s="12"/>
      <c r="G32" s="12" t="s">
        <v>166</v>
      </c>
      <c r="H32" s="18">
        <v>0.67500000000000004</v>
      </c>
      <c r="I32" s="12"/>
      <c r="J32" s="12" t="s">
        <v>186</v>
      </c>
      <c r="K32" s="18">
        <v>0.36299999999999999</v>
      </c>
      <c r="L32" s="12"/>
      <c r="M32" s="12" t="s">
        <v>191</v>
      </c>
      <c r="N32" s="18">
        <v>0.98699999999999999</v>
      </c>
      <c r="O32" s="46" t="s">
        <v>16</v>
      </c>
      <c r="P32" s="12">
        <v>18</v>
      </c>
      <c r="Q32" s="12" t="s">
        <v>181</v>
      </c>
      <c r="R32" s="16">
        <v>0.26</v>
      </c>
      <c r="S32" s="21"/>
      <c r="T32" s="12" t="s">
        <v>176</v>
      </c>
      <c r="U32" s="18">
        <v>0.97499999999999998</v>
      </c>
      <c r="V32" s="21"/>
      <c r="W32" s="12" t="s">
        <v>171</v>
      </c>
      <c r="X32" s="18">
        <v>8.5000000000000006E-2</v>
      </c>
      <c r="Y32" s="6"/>
      <c r="Z32" s="12" t="s">
        <v>955</v>
      </c>
      <c r="AA32" s="18">
        <v>0.99</v>
      </c>
    </row>
    <row r="33" spans="2:27" x14ac:dyDescent="0.35">
      <c r="B33" s="32" t="s">
        <v>975</v>
      </c>
      <c r="C33" s="12"/>
      <c r="D33" s="12"/>
      <c r="E33" s="16"/>
      <c r="F33" s="12"/>
      <c r="G33" s="12"/>
      <c r="H33" s="16"/>
      <c r="I33" s="12"/>
      <c r="J33" s="12"/>
      <c r="K33" s="12"/>
      <c r="L33" s="12"/>
      <c r="M33" s="12"/>
      <c r="N33" s="16"/>
      <c r="O33" s="32" t="s">
        <v>975</v>
      </c>
      <c r="P33" s="12"/>
      <c r="Q33" s="12"/>
      <c r="R33" s="16"/>
      <c r="S33" s="12"/>
      <c r="T33" s="12"/>
      <c r="U33" s="16"/>
      <c r="V33" s="12"/>
      <c r="W33" s="12"/>
      <c r="X33" s="16"/>
      <c r="Y33" s="6"/>
      <c r="Z33" s="12"/>
      <c r="AA33" s="16"/>
    </row>
    <row r="34" spans="2:27" x14ac:dyDescent="0.35">
      <c r="B34" s="46">
        <v>0</v>
      </c>
      <c r="C34" s="12">
        <v>14</v>
      </c>
      <c r="D34" s="12" t="s">
        <v>192</v>
      </c>
      <c r="E34" s="16"/>
      <c r="F34" s="12"/>
      <c r="G34" s="12" t="s">
        <v>196</v>
      </c>
      <c r="H34" s="16"/>
      <c r="I34" s="12"/>
      <c r="J34" s="12" t="s">
        <v>212</v>
      </c>
      <c r="K34" s="16"/>
      <c r="L34" s="12"/>
      <c r="M34" s="12" t="s">
        <v>216</v>
      </c>
      <c r="N34" s="16"/>
      <c r="O34" s="46">
        <v>0</v>
      </c>
      <c r="P34" s="12">
        <v>14</v>
      </c>
      <c r="Q34" s="12" t="s">
        <v>208</v>
      </c>
      <c r="R34" s="16"/>
      <c r="S34" s="12"/>
      <c r="T34" s="12" t="s">
        <v>204</v>
      </c>
      <c r="U34" s="16"/>
      <c r="V34" s="12"/>
      <c r="W34" s="12" t="s">
        <v>200</v>
      </c>
      <c r="X34" s="16"/>
      <c r="Y34" s="6"/>
      <c r="Z34" s="12" t="s">
        <v>956</v>
      </c>
      <c r="AA34" s="16"/>
    </row>
    <row r="35" spans="2:27" x14ac:dyDescent="0.35">
      <c r="B35" s="46" t="s">
        <v>13</v>
      </c>
      <c r="C35" s="12">
        <v>50</v>
      </c>
      <c r="D35" s="12" t="s">
        <v>193</v>
      </c>
      <c r="E35" s="18"/>
      <c r="F35" s="21"/>
      <c r="G35" s="12" t="s">
        <v>197</v>
      </c>
      <c r="H35" s="16"/>
      <c r="I35" s="12"/>
      <c r="J35" s="21" t="s">
        <v>213</v>
      </c>
      <c r="K35" s="18"/>
      <c r="L35" s="12"/>
      <c r="M35" s="12" t="s">
        <v>217</v>
      </c>
      <c r="N35" s="18"/>
      <c r="O35" s="46" t="s">
        <v>13</v>
      </c>
      <c r="P35" s="12">
        <v>50</v>
      </c>
      <c r="Q35" s="21" t="s">
        <v>209</v>
      </c>
      <c r="R35" s="16"/>
      <c r="S35" s="12"/>
      <c r="T35" s="12" t="s">
        <v>205</v>
      </c>
      <c r="U35" s="16"/>
      <c r="V35" s="12"/>
      <c r="W35" s="21" t="s">
        <v>201</v>
      </c>
      <c r="X35" s="16"/>
      <c r="Y35" s="6"/>
      <c r="Z35" s="21" t="s">
        <v>957</v>
      </c>
      <c r="AA35" s="16"/>
    </row>
    <row r="36" spans="2:27" x14ac:dyDescent="0.35">
      <c r="B36" s="46" t="s">
        <v>14</v>
      </c>
      <c r="C36" s="12">
        <v>48</v>
      </c>
      <c r="D36" s="12" t="s">
        <v>194</v>
      </c>
      <c r="E36" s="16"/>
      <c r="F36" s="12"/>
      <c r="G36" s="12" t="s">
        <v>198</v>
      </c>
      <c r="H36" s="16"/>
      <c r="I36" s="12"/>
      <c r="J36" s="12" t="s">
        <v>214</v>
      </c>
      <c r="K36" s="16"/>
      <c r="L36" s="12"/>
      <c r="M36" s="12" t="s">
        <v>218</v>
      </c>
      <c r="N36" s="18"/>
      <c r="O36" s="46" t="s">
        <v>14</v>
      </c>
      <c r="P36" s="12">
        <v>48</v>
      </c>
      <c r="Q36" s="12" t="s">
        <v>210</v>
      </c>
      <c r="R36" s="16"/>
      <c r="S36" s="12"/>
      <c r="T36" s="21" t="s">
        <v>206</v>
      </c>
      <c r="U36" s="16"/>
      <c r="V36" s="12"/>
      <c r="W36" s="12" t="s">
        <v>202</v>
      </c>
      <c r="X36" s="16"/>
      <c r="Y36" s="6"/>
      <c r="Z36" s="12" t="s">
        <v>958</v>
      </c>
      <c r="AA36" s="16"/>
    </row>
    <row r="37" spans="2:27" x14ac:dyDescent="0.35">
      <c r="B37" s="46" t="s">
        <v>17</v>
      </c>
      <c r="C37" s="12">
        <v>63</v>
      </c>
      <c r="D37" s="12" t="s">
        <v>195</v>
      </c>
      <c r="E37" s="18">
        <v>0.17499999999999999</v>
      </c>
      <c r="F37" s="65"/>
      <c r="G37" s="12" t="s">
        <v>199</v>
      </c>
      <c r="H37" s="18">
        <v>6.0000000000000001E-3</v>
      </c>
      <c r="I37" s="12"/>
      <c r="J37" s="12" t="s">
        <v>215</v>
      </c>
      <c r="K37" s="18">
        <v>0.30499999999999999</v>
      </c>
      <c r="L37" s="12"/>
      <c r="M37" s="12" t="s">
        <v>219</v>
      </c>
      <c r="N37" s="18">
        <v>1.4E-2</v>
      </c>
      <c r="O37" s="46" t="s">
        <v>17</v>
      </c>
      <c r="P37" s="12">
        <v>63</v>
      </c>
      <c r="Q37" s="21" t="s">
        <v>211</v>
      </c>
      <c r="R37" s="16">
        <v>0.25</v>
      </c>
      <c r="S37" s="21"/>
      <c r="T37" s="12" t="s">
        <v>207</v>
      </c>
      <c r="U37" s="16">
        <v>0.12</v>
      </c>
      <c r="V37" s="12"/>
      <c r="W37" s="12" t="s">
        <v>203</v>
      </c>
      <c r="X37" s="18">
        <v>0.16400000000000001</v>
      </c>
      <c r="Y37" s="6"/>
      <c r="Z37" s="12" t="s">
        <v>959</v>
      </c>
      <c r="AA37" s="18">
        <v>0.01</v>
      </c>
    </row>
    <row r="38" spans="2:27" x14ac:dyDescent="0.35">
      <c r="B38" s="32" t="s">
        <v>1525</v>
      </c>
      <c r="C38" s="12"/>
      <c r="D38" s="12"/>
      <c r="E38" s="16"/>
      <c r="F38" s="12"/>
      <c r="G38" s="12"/>
      <c r="H38" s="16"/>
      <c r="I38" s="12"/>
      <c r="J38" s="12"/>
      <c r="K38" s="16"/>
      <c r="L38" s="12"/>
      <c r="M38" s="12"/>
      <c r="N38" s="16"/>
      <c r="O38" s="32" t="s">
        <v>276</v>
      </c>
      <c r="P38" s="12"/>
      <c r="Q38" s="12"/>
      <c r="R38" s="16"/>
      <c r="S38" s="21"/>
      <c r="T38" s="12"/>
      <c r="U38" s="16"/>
      <c r="V38" s="12"/>
      <c r="W38" s="12"/>
      <c r="X38" s="16"/>
      <c r="Y38" s="6"/>
      <c r="Z38" s="12"/>
      <c r="AA38" s="16"/>
    </row>
    <row r="39" spans="2:27" x14ac:dyDescent="0.35">
      <c r="B39" s="46" t="s">
        <v>18</v>
      </c>
      <c r="C39" s="12">
        <v>54</v>
      </c>
      <c r="D39" s="12" t="s">
        <v>220</v>
      </c>
      <c r="E39" s="18"/>
      <c r="F39" s="21"/>
      <c r="G39" s="12" t="s">
        <v>222</v>
      </c>
      <c r="H39" s="16"/>
      <c r="I39" s="12"/>
      <c r="J39" s="12" t="s">
        <v>230</v>
      </c>
      <c r="K39" s="16"/>
      <c r="L39" s="12"/>
      <c r="M39" s="21" t="s">
        <v>232</v>
      </c>
      <c r="N39" s="16"/>
      <c r="O39" s="46" t="s">
        <v>18</v>
      </c>
      <c r="P39" s="12">
        <v>54</v>
      </c>
      <c r="Q39" s="12" t="s">
        <v>228</v>
      </c>
      <c r="R39" s="16"/>
      <c r="S39" s="12"/>
      <c r="T39" s="12" t="s">
        <v>226</v>
      </c>
      <c r="U39" s="16"/>
      <c r="V39" s="12"/>
      <c r="W39" s="21" t="s">
        <v>224</v>
      </c>
      <c r="X39" s="16"/>
      <c r="Y39" s="6"/>
      <c r="Z39" s="21" t="s">
        <v>960</v>
      </c>
      <c r="AA39" s="16"/>
    </row>
    <row r="40" spans="2:27" x14ac:dyDescent="0.35">
      <c r="B40" s="46" t="s">
        <v>19</v>
      </c>
      <c r="C40" s="12">
        <v>121</v>
      </c>
      <c r="D40" s="12" t="s">
        <v>221</v>
      </c>
      <c r="E40" s="18">
        <v>0.91700000000000004</v>
      </c>
      <c r="F40" s="65"/>
      <c r="G40" s="12" t="s">
        <v>223</v>
      </c>
      <c r="H40" s="18">
        <v>0.97399999999999998</v>
      </c>
      <c r="I40" s="12"/>
      <c r="J40" s="12" t="s">
        <v>231</v>
      </c>
      <c r="K40" s="18">
        <v>0.64700000000000002</v>
      </c>
      <c r="L40" s="12"/>
      <c r="M40" s="12" t="s">
        <v>233</v>
      </c>
      <c r="N40" s="18">
        <v>0.71699999999999997</v>
      </c>
      <c r="O40" s="46" t="s">
        <v>19</v>
      </c>
      <c r="P40" s="12">
        <v>121</v>
      </c>
      <c r="Q40" s="12" t="s">
        <v>229</v>
      </c>
      <c r="R40" s="16">
        <v>0.71</v>
      </c>
      <c r="S40" s="12"/>
      <c r="T40" s="12" t="s">
        <v>227</v>
      </c>
      <c r="U40" s="16">
        <v>0.69</v>
      </c>
      <c r="V40" s="12"/>
      <c r="W40" s="12" t="s">
        <v>225</v>
      </c>
      <c r="X40" s="18">
        <v>0.7</v>
      </c>
      <c r="Y40" s="6"/>
      <c r="Z40" s="12" t="s">
        <v>961</v>
      </c>
      <c r="AA40" s="18">
        <v>0.76</v>
      </c>
    </row>
    <row r="41" spans="2:27" x14ac:dyDescent="0.35">
      <c r="B41" s="32" t="s">
        <v>279</v>
      </c>
      <c r="C41" s="12"/>
      <c r="D41" s="12"/>
      <c r="E41" s="16"/>
      <c r="F41" s="12"/>
      <c r="G41" s="12"/>
      <c r="H41" s="16"/>
      <c r="I41" s="12"/>
      <c r="J41" s="12"/>
      <c r="K41" s="16"/>
      <c r="L41" s="12"/>
      <c r="M41" s="12"/>
      <c r="N41" s="16"/>
      <c r="O41" s="32" t="s">
        <v>279</v>
      </c>
      <c r="P41" s="12"/>
      <c r="Q41" s="12"/>
      <c r="R41" s="16"/>
      <c r="S41" s="12"/>
      <c r="T41" s="12"/>
      <c r="U41" s="16"/>
      <c r="V41" s="12"/>
      <c r="W41" s="12"/>
      <c r="X41" s="16"/>
      <c r="Y41" s="6"/>
      <c r="Z41" s="12"/>
      <c r="AA41" s="16"/>
    </row>
    <row r="42" spans="2:27" x14ac:dyDescent="0.35">
      <c r="B42" s="46">
        <v>1</v>
      </c>
      <c r="C42" s="12">
        <v>126</v>
      </c>
      <c r="D42" s="12" t="s">
        <v>234</v>
      </c>
      <c r="E42" s="16"/>
      <c r="F42" s="12"/>
      <c r="G42" s="12" t="s">
        <v>236</v>
      </c>
      <c r="H42" s="16"/>
      <c r="I42" s="12"/>
      <c r="J42" s="12" t="s">
        <v>243</v>
      </c>
      <c r="K42" s="18"/>
      <c r="L42" s="12"/>
      <c r="M42" s="21" t="s">
        <v>245</v>
      </c>
      <c r="N42" s="16"/>
      <c r="O42" s="46">
        <v>1</v>
      </c>
      <c r="P42" s="12">
        <v>126</v>
      </c>
      <c r="Q42" s="12" t="s">
        <v>241</v>
      </c>
      <c r="R42" s="16"/>
      <c r="S42" s="12"/>
      <c r="T42" s="12" t="s">
        <v>239</v>
      </c>
      <c r="U42" s="16"/>
      <c r="V42" s="12"/>
      <c r="W42" s="12" t="s">
        <v>238</v>
      </c>
      <c r="X42" s="18"/>
      <c r="Y42" s="6"/>
      <c r="Z42" s="12" t="s">
        <v>962</v>
      </c>
      <c r="AA42" s="18"/>
    </row>
    <row r="43" spans="2:27" x14ac:dyDescent="0.35">
      <c r="B43" s="46" t="s">
        <v>30</v>
      </c>
      <c r="C43" s="12">
        <v>49</v>
      </c>
      <c r="D43" s="12" t="s">
        <v>235</v>
      </c>
      <c r="E43" s="18">
        <v>0.49</v>
      </c>
      <c r="F43" s="65"/>
      <c r="G43" s="12" t="s">
        <v>237</v>
      </c>
      <c r="H43" s="18">
        <v>0.33100000000000002</v>
      </c>
      <c r="I43" s="12"/>
      <c r="J43" s="21" t="s">
        <v>244</v>
      </c>
      <c r="K43" s="18">
        <v>0.70199999999999996</v>
      </c>
      <c r="L43" s="12"/>
      <c r="M43" s="21" t="s">
        <v>246</v>
      </c>
      <c r="N43" s="18">
        <v>0.32900000000000001</v>
      </c>
      <c r="O43" s="46" t="s">
        <v>30</v>
      </c>
      <c r="P43" s="12">
        <v>49</v>
      </c>
      <c r="Q43" s="12" t="s">
        <v>242</v>
      </c>
      <c r="R43" s="16">
        <v>0.99</v>
      </c>
      <c r="S43" s="12"/>
      <c r="T43" s="12" t="s">
        <v>240</v>
      </c>
      <c r="U43" s="16">
        <v>0.33</v>
      </c>
      <c r="V43" s="12"/>
      <c r="W43" s="12" t="s">
        <v>109</v>
      </c>
      <c r="X43" s="18">
        <v>0.51300000000000001</v>
      </c>
      <c r="Y43" s="6"/>
      <c r="Z43" s="12" t="s">
        <v>963</v>
      </c>
      <c r="AA43" s="18">
        <v>0.36</v>
      </c>
    </row>
    <row r="44" spans="2:27" x14ac:dyDescent="0.35">
      <c r="B44" s="32" t="s">
        <v>278</v>
      </c>
      <c r="C44" s="12"/>
      <c r="D44" s="12"/>
      <c r="E44" s="16"/>
      <c r="F44" s="12"/>
      <c r="G44" s="12"/>
      <c r="H44" s="16"/>
      <c r="I44" s="12"/>
      <c r="J44" s="12"/>
      <c r="K44" s="16"/>
      <c r="L44" s="12"/>
      <c r="M44" s="12"/>
      <c r="N44" s="16"/>
      <c r="O44" s="32" t="s">
        <v>278</v>
      </c>
      <c r="P44" s="12"/>
      <c r="Q44" s="12"/>
      <c r="R44" s="16"/>
      <c r="S44" s="12"/>
      <c r="T44" s="12"/>
      <c r="U44" s="16"/>
      <c r="V44" s="12"/>
      <c r="W44" s="12"/>
      <c r="X44" s="16"/>
      <c r="Y44" s="6"/>
      <c r="Z44" s="12"/>
      <c r="AA44" s="16"/>
    </row>
    <row r="45" spans="2:27" x14ac:dyDescent="0.35">
      <c r="B45" s="46" t="s">
        <v>18</v>
      </c>
      <c r="C45" s="12">
        <v>128</v>
      </c>
      <c r="D45" s="12" t="s">
        <v>247</v>
      </c>
      <c r="E45" s="16"/>
      <c r="F45" s="12"/>
      <c r="G45" s="12" t="s">
        <v>249</v>
      </c>
      <c r="H45" s="16"/>
      <c r="I45" s="12"/>
      <c r="J45" s="12" t="s">
        <v>257</v>
      </c>
      <c r="K45" s="16"/>
      <c r="L45" s="12"/>
      <c r="M45" s="12" t="s">
        <v>259</v>
      </c>
      <c r="N45" s="16"/>
      <c r="O45" s="46" t="s">
        <v>18</v>
      </c>
      <c r="P45" s="12">
        <v>128</v>
      </c>
      <c r="Q45" s="12" t="s">
        <v>255</v>
      </c>
      <c r="R45" s="16"/>
      <c r="S45" s="12"/>
      <c r="T45" s="12" t="s">
        <v>253</v>
      </c>
      <c r="U45" s="16"/>
      <c r="V45" s="12"/>
      <c r="W45" s="12" t="s">
        <v>251</v>
      </c>
      <c r="X45" s="16"/>
      <c r="Y45" s="6"/>
      <c r="Z45" s="12" t="s">
        <v>964</v>
      </c>
      <c r="AA45" s="16"/>
    </row>
    <row r="46" spans="2:27" x14ac:dyDescent="0.35">
      <c r="B46" s="46" t="s">
        <v>19</v>
      </c>
      <c r="C46" s="12">
        <v>43</v>
      </c>
      <c r="D46" s="12" t="s">
        <v>248</v>
      </c>
      <c r="E46" s="18">
        <v>0.47699999999999998</v>
      </c>
      <c r="F46" s="12"/>
      <c r="G46" s="12" t="s">
        <v>250</v>
      </c>
      <c r="H46" s="18">
        <v>0.86799999999999999</v>
      </c>
      <c r="I46" s="12"/>
      <c r="J46" s="21" t="s">
        <v>258</v>
      </c>
      <c r="K46" s="18">
        <v>0.154</v>
      </c>
      <c r="L46" s="12"/>
      <c r="M46" s="12" t="s">
        <v>260</v>
      </c>
      <c r="N46" s="18">
        <v>0.85199999999999998</v>
      </c>
      <c r="O46" s="46" t="s">
        <v>19</v>
      </c>
      <c r="P46" s="12">
        <v>43</v>
      </c>
      <c r="Q46" s="12" t="s">
        <v>256</v>
      </c>
      <c r="R46" s="18">
        <v>0.20100000000000001</v>
      </c>
      <c r="S46" s="12"/>
      <c r="T46" s="12" t="s">
        <v>254</v>
      </c>
      <c r="U46" s="18">
        <v>0.90400000000000003</v>
      </c>
      <c r="V46" s="12"/>
      <c r="W46" s="12" t="s">
        <v>252</v>
      </c>
      <c r="X46" s="18">
        <v>0.28799999999999998</v>
      </c>
      <c r="Y46" s="6"/>
      <c r="Z46" s="12" t="s">
        <v>965</v>
      </c>
      <c r="AA46" s="18">
        <v>0.63</v>
      </c>
    </row>
    <row r="47" spans="2:27" x14ac:dyDescent="0.35">
      <c r="B47" s="87" t="s">
        <v>897</v>
      </c>
      <c r="C47" s="12"/>
      <c r="D47" s="12"/>
      <c r="E47" s="16"/>
      <c r="F47" s="12"/>
      <c r="G47" s="12"/>
      <c r="H47" s="16"/>
      <c r="I47" s="12"/>
      <c r="J47" s="21"/>
      <c r="K47" s="16"/>
      <c r="L47" s="12"/>
      <c r="M47" s="12"/>
      <c r="N47" s="16"/>
      <c r="O47" s="87" t="s">
        <v>897</v>
      </c>
      <c r="P47" s="12"/>
      <c r="Q47" s="12"/>
      <c r="R47" s="16"/>
      <c r="S47" s="12"/>
      <c r="T47" s="12"/>
      <c r="U47" s="16"/>
      <c r="V47" s="12"/>
      <c r="W47" s="12"/>
      <c r="X47" s="16"/>
      <c r="Y47" s="6"/>
      <c r="Z47" s="12"/>
      <c r="AA47" s="16"/>
    </row>
    <row r="48" spans="2:27" x14ac:dyDescent="0.35">
      <c r="B48" s="46" t="s">
        <v>18</v>
      </c>
      <c r="C48" s="12">
        <v>390</v>
      </c>
      <c r="D48" s="12" t="s">
        <v>886</v>
      </c>
      <c r="E48" s="16"/>
      <c r="F48" s="12"/>
      <c r="G48" s="12" t="s">
        <v>887</v>
      </c>
      <c r="H48" s="16"/>
      <c r="I48" s="12"/>
      <c r="J48" s="21" t="s">
        <v>888</v>
      </c>
      <c r="K48" s="16"/>
      <c r="L48" s="12"/>
      <c r="M48" s="12" t="s">
        <v>903</v>
      </c>
      <c r="N48" s="16"/>
      <c r="O48" s="46" t="s">
        <v>18</v>
      </c>
      <c r="P48" s="12">
        <v>390</v>
      </c>
      <c r="Q48" s="12" t="s">
        <v>891</v>
      </c>
      <c r="R48" s="16"/>
      <c r="S48" s="12"/>
      <c r="T48" s="12" t="s">
        <v>890</v>
      </c>
      <c r="U48" s="16"/>
      <c r="V48" s="12"/>
      <c r="W48" s="12" t="s">
        <v>889</v>
      </c>
      <c r="X48" s="16"/>
      <c r="Y48" s="6"/>
      <c r="Z48" s="12" t="s">
        <v>966</v>
      </c>
      <c r="AA48" s="16"/>
    </row>
    <row r="49" spans="2:27" x14ac:dyDescent="0.35">
      <c r="B49" s="46" t="s">
        <v>19</v>
      </c>
      <c r="C49" s="12">
        <v>131</v>
      </c>
      <c r="D49" s="12" t="s">
        <v>898</v>
      </c>
      <c r="E49" s="16">
        <v>0.72</v>
      </c>
      <c r="F49" s="12"/>
      <c r="G49" s="12" t="s">
        <v>899</v>
      </c>
      <c r="H49" s="18">
        <v>0.3</v>
      </c>
      <c r="I49" s="12"/>
      <c r="J49" s="21" t="s">
        <v>902</v>
      </c>
      <c r="K49" s="16">
        <v>0.95</v>
      </c>
      <c r="L49" s="12"/>
      <c r="M49" s="12" t="s">
        <v>904</v>
      </c>
      <c r="N49" s="16">
        <v>0.65</v>
      </c>
      <c r="O49" s="46" t="s">
        <v>19</v>
      </c>
      <c r="P49" s="12">
        <v>131</v>
      </c>
      <c r="Q49" s="12" t="s">
        <v>901</v>
      </c>
      <c r="R49" s="16">
        <v>0.41</v>
      </c>
      <c r="S49" s="12"/>
      <c r="T49" s="12" t="s">
        <v>275</v>
      </c>
      <c r="U49" s="16">
        <v>0.95</v>
      </c>
      <c r="V49" s="12"/>
      <c r="W49" s="12" t="s">
        <v>900</v>
      </c>
      <c r="X49" s="16">
        <v>0.34</v>
      </c>
      <c r="Y49" s="6"/>
      <c r="Z49" s="12" t="s">
        <v>967</v>
      </c>
      <c r="AA49" s="16">
        <v>0.41</v>
      </c>
    </row>
    <row r="50" spans="2:27" x14ac:dyDescent="0.35">
      <c r="B50" s="32" t="s">
        <v>277</v>
      </c>
      <c r="C50" s="12"/>
      <c r="D50" s="12"/>
      <c r="E50" s="16"/>
      <c r="F50" s="12"/>
      <c r="G50" s="12"/>
      <c r="H50" s="16"/>
      <c r="I50" s="12"/>
      <c r="J50" s="12"/>
      <c r="K50" s="16"/>
      <c r="L50" s="12"/>
      <c r="M50" s="12"/>
      <c r="N50" s="16"/>
      <c r="O50" s="32" t="s">
        <v>277</v>
      </c>
      <c r="P50" s="12"/>
      <c r="Q50" s="12"/>
      <c r="R50" s="16"/>
      <c r="S50" s="12"/>
      <c r="T50" s="12"/>
      <c r="U50" s="16"/>
      <c r="V50" s="12"/>
      <c r="W50" s="12"/>
      <c r="X50" s="16"/>
      <c r="Y50" s="6"/>
      <c r="Z50" s="12"/>
      <c r="AA50" s="16"/>
    </row>
    <row r="51" spans="2:27" x14ac:dyDescent="0.35">
      <c r="B51" s="152" t="s">
        <v>18</v>
      </c>
      <c r="C51" s="25">
        <v>153</v>
      </c>
      <c r="D51" s="25" t="s">
        <v>261</v>
      </c>
      <c r="E51" s="26"/>
      <c r="F51" s="25"/>
      <c r="G51" s="25" t="s">
        <v>263</v>
      </c>
      <c r="H51" s="26"/>
      <c r="I51" s="25"/>
      <c r="J51" s="25" t="s">
        <v>271</v>
      </c>
      <c r="K51" s="26"/>
      <c r="L51" s="25"/>
      <c r="M51" s="25" t="s">
        <v>273</v>
      </c>
      <c r="N51" s="26"/>
      <c r="O51" s="152" t="s">
        <v>18</v>
      </c>
      <c r="P51" s="25">
        <v>153</v>
      </c>
      <c r="Q51" s="25" t="s">
        <v>269</v>
      </c>
      <c r="R51" s="26"/>
      <c r="S51" s="25"/>
      <c r="T51" s="25" t="s">
        <v>267</v>
      </c>
      <c r="U51" s="26"/>
      <c r="V51" s="25"/>
      <c r="W51" s="25" t="s">
        <v>265</v>
      </c>
      <c r="X51" s="26"/>
      <c r="Y51" s="5"/>
      <c r="Z51" s="25" t="s">
        <v>968</v>
      </c>
      <c r="AA51" s="26"/>
    </row>
    <row r="52" spans="2:27" x14ac:dyDescent="0.35">
      <c r="B52" s="58" t="s">
        <v>19</v>
      </c>
      <c r="C52" s="34">
        <v>22</v>
      </c>
      <c r="D52" s="34" t="s">
        <v>262</v>
      </c>
      <c r="E52" s="59">
        <v>0.48099999999999998</v>
      </c>
      <c r="F52" s="34"/>
      <c r="G52" s="60" t="s">
        <v>264</v>
      </c>
      <c r="H52" s="59">
        <v>0.80500000000000005</v>
      </c>
      <c r="I52" s="155"/>
      <c r="J52" s="34" t="s">
        <v>272</v>
      </c>
      <c r="K52" s="59">
        <v>0.73099999999999998</v>
      </c>
      <c r="L52" s="155"/>
      <c r="M52" s="34" t="s">
        <v>274</v>
      </c>
      <c r="N52" s="59">
        <v>0.627</v>
      </c>
      <c r="O52" s="58" t="s">
        <v>19</v>
      </c>
      <c r="P52" s="34">
        <v>22</v>
      </c>
      <c r="Q52" s="34" t="s">
        <v>270</v>
      </c>
      <c r="R52" s="61">
        <v>0.59</v>
      </c>
      <c r="S52" s="34"/>
      <c r="T52" s="34" t="s">
        <v>268</v>
      </c>
      <c r="U52" s="61">
        <v>0.54</v>
      </c>
      <c r="V52" s="34"/>
      <c r="W52" s="34" t="s">
        <v>266</v>
      </c>
      <c r="X52" s="59">
        <v>0.98299999999999998</v>
      </c>
      <c r="Y52" s="2"/>
      <c r="Z52" s="34" t="s">
        <v>969</v>
      </c>
      <c r="AA52" s="59">
        <v>0.74</v>
      </c>
    </row>
    <row r="53" spans="2:27" ht="16" customHeight="1" x14ac:dyDescent="0.35">
      <c r="B53" s="150" t="s">
        <v>979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</row>
    <row r="54" spans="2:27" x14ac:dyDescent="0.35">
      <c r="B54" s="88" t="s">
        <v>980</v>
      </c>
      <c r="C54" s="89"/>
      <c r="D54" s="89"/>
      <c r="E54" s="89"/>
      <c r="F54" s="89"/>
      <c r="G54" s="89"/>
      <c r="H54" s="6"/>
      <c r="I54" s="6"/>
      <c r="J54" s="6"/>
      <c r="K54" s="6"/>
      <c r="L54" s="6"/>
      <c r="M54" s="6"/>
      <c r="N54" s="6"/>
    </row>
    <row r="55" spans="2:27" x14ac:dyDescent="0.35"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2:27" x14ac:dyDescent="0.3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27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27" x14ac:dyDescent="0.3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27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27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27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27" x14ac:dyDescent="0.3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27" x14ac:dyDescent="0.3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27" x14ac:dyDescent="0.3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x14ac:dyDescent="0.3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x14ac:dyDescent="0.3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x14ac:dyDescent="0.3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x14ac:dyDescent="0.3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</sheetData>
  <mergeCells count="10">
    <mergeCell ref="T3:U3"/>
    <mergeCell ref="W3:X3"/>
    <mergeCell ref="Z3:AA3"/>
    <mergeCell ref="B55:N55"/>
    <mergeCell ref="B53:O53"/>
    <mergeCell ref="D3:E3"/>
    <mergeCell ref="G3:H3"/>
    <mergeCell ref="M3:N3"/>
    <mergeCell ref="J3:K3"/>
    <mergeCell ref="Q3:R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Supplementary Table 1</vt:lpstr>
      <vt:lpstr>Supplementary Table 2</vt:lpstr>
      <vt:lpstr>Supplementary Table 3</vt:lpstr>
      <vt:lpstr>Supplementary Table 4</vt:lpstr>
      <vt:lpstr>Supplementary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Fedirko, Veronika</cp:lastModifiedBy>
  <cp:lastPrinted>2020-02-18T05:37:22Z</cp:lastPrinted>
  <dcterms:created xsi:type="dcterms:W3CDTF">2019-05-13T18:37:18Z</dcterms:created>
  <dcterms:modified xsi:type="dcterms:W3CDTF">2020-09-04T20:37:31Z</dcterms:modified>
</cp:coreProperties>
</file>