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4560" activeTab="1"/>
  </bookViews>
  <sheets>
    <sheet name="combinedScreenData" sheetId="1" r:id="rId1"/>
    <sheet name="summary_stat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F13" i="1"/>
  <c r="G18" i="1"/>
  <c r="F18" i="1"/>
  <c r="G17" i="1"/>
  <c r="F17" i="1"/>
  <c r="G16" i="1"/>
  <c r="F16" i="1"/>
  <c r="G15" i="1"/>
  <c r="F15" i="1"/>
  <c r="G14" i="1"/>
  <c r="F14" i="1"/>
  <c r="G12" i="1"/>
  <c r="G11" i="1"/>
  <c r="G10" i="1"/>
  <c r="G93" i="1"/>
  <c r="G92" i="1"/>
  <c r="G91" i="1"/>
  <c r="G90" i="1"/>
  <c r="G89" i="1"/>
  <c r="G88" i="1"/>
  <c r="F93" i="1"/>
  <c r="F92" i="1"/>
  <c r="F91" i="1"/>
  <c r="F90" i="1"/>
  <c r="F89" i="1"/>
  <c r="F88" i="1"/>
  <c r="G100" i="1"/>
  <c r="F100" i="1"/>
  <c r="G99" i="1"/>
  <c r="F99" i="1"/>
  <c r="G95" i="1"/>
  <c r="F95" i="1"/>
  <c r="G94" i="1"/>
  <c r="F94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G180" i="1"/>
  <c r="F180" i="1"/>
  <c r="G177" i="1"/>
  <c r="F177" i="1"/>
  <c r="G175" i="1"/>
  <c r="F175" i="1"/>
  <c r="G171" i="1"/>
  <c r="F171" i="1"/>
  <c r="G184" i="1"/>
  <c r="F184" i="1"/>
  <c r="G183" i="1"/>
  <c r="G182" i="1"/>
  <c r="G181" i="1"/>
  <c r="G179" i="1"/>
  <c r="F183" i="1"/>
  <c r="F182" i="1"/>
  <c r="F181" i="1"/>
  <c r="F179" i="1"/>
  <c r="G174" i="1"/>
  <c r="G173" i="1"/>
  <c r="G172" i="1"/>
  <c r="G170" i="1"/>
  <c r="G169" i="1"/>
  <c r="G168" i="1"/>
  <c r="G167" i="1"/>
  <c r="G166" i="1"/>
  <c r="G165" i="1"/>
  <c r="G178" i="1"/>
  <c r="F178" i="1"/>
  <c r="G176" i="1"/>
  <c r="F176" i="1"/>
  <c r="F168" i="1"/>
  <c r="F174" i="1"/>
  <c r="F173" i="1"/>
  <c r="F172" i="1"/>
  <c r="F170" i="1"/>
  <c r="F169" i="1"/>
  <c r="F167" i="1"/>
  <c r="F166" i="1"/>
  <c r="F165" i="1"/>
  <c r="G163" i="1"/>
  <c r="G162" i="1"/>
  <c r="G161" i="1"/>
  <c r="G160" i="1"/>
  <c r="G159" i="1"/>
  <c r="G158" i="1"/>
  <c r="G157" i="1"/>
  <c r="G156" i="1"/>
  <c r="F164" i="1"/>
  <c r="F163" i="1"/>
  <c r="F162" i="1"/>
  <c r="F161" i="1"/>
  <c r="F160" i="1"/>
  <c r="F159" i="1"/>
  <c r="F158" i="1"/>
  <c r="F157" i="1"/>
  <c r="F156" i="1"/>
  <c r="G155" i="1"/>
  <c r="G154" i="1"/>
  <c r="G153" i="1"/>
  <c r="G152" i="1"/>
  <c r="G151" i="1"/>
  <c r="G150" i="1"/>
  <c r="G149" i="1"/>
  <c r="G148" i="1"/>
  <c r="G147" i="1"/>
  <c r="G146" i="1"/>
  <c r="F155" i="1"/>
  <c r="F154" i="1"/>
  <c r="F153" i="1"/>
  <c r="F152" i="1"/>
  <c r="F151" i="1"/>
  <c r="F150" i="1"/>
  <c r="F149" i="1"/>
  <c r="F148" i="1"/>
  <c r="F147" i="1"/>
  <c r="F146" i="1"/>
  <c r="G136" i="1"/>
  <c r="G135" i="1"/>
  <c r="G134" i="1"/>
  <c r="G133" i="1"/>
  <c r="G132" i="1"/>
  <c r="G131" i="1"/>
  <c r="G130" i="1"/>
  <c r="G129" i="1"/>
  <c r="F136" i="1"/>
  <c r="F135" i="1"/>
  <c r="F134" i="1"/>
  <c r="F133" i="1"/>
  <c r="F132" i="1"/>
  <c r="F131" i="1"/>
  <c r="F130" i="1"/>
  <c r="F129" i="1"/>
  <c r="G145" i="1"/>
  <c r="G143" i="1"/>
  <c r="G142" i="1"/>
  <c r="G141" i="1"/>
  <c r="G140" i="1"/>
  <c r="G139" i="1"/>
  <c r="G138" i="1"/>
  <c r="G137" i="1"/>
  <c r="F145" i="1"/>
  <c r="F144" i="1"/>
  <c r="F143" i="1"/>
  <c r="F142" i="1"/>
  <c r="F141" i="1"/>
  <c r="F140" i="1"/>
  <c r="F139" i="1"/>
  <c r="F138" i="1"/>
  <c r="F137" i="1"/>
  <c r="G128" i="1"/>
  <c r="G127" i="1"/>
  <c r="G126" i="1"/>
  <c r="G125" i="1"/>
  <c r="G124" i="1"/>
  <c r="G123" i="1"/>
  <c r="G122" i="1"/>
  <c r="F128" i="1"/>
  <c r="F127" i="1"/>
  <c r="F126" i="1"/>
  <c r="F125" i="1"/>
  <c r="F124" i="1"/>
  <c r="F123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C6" i="2"/>
  <c r="C5" i="2"/>
  <c r="C4" i="2"/>
  <c r="C3" i="2"/>
  <c r="C2" i="2"/>
  <c r="D7" i="2"/>
  <c r="C7" i="2"/>
  <c r="F42" i="2"/>
  <c r="F41" i="2"/>
  <c r="F36" i="2"/>
  <c r="F35" i="2"/>
  <c r="F30" i="2"/>
  <c r="F29" i="2"/>
  <c r="F24" i="2"/>
  <c r="F23" i="2"/>
  <c r="F18" i="2"/>
  <c r="F17" i="2"/>
  <c r="B42" i="2"/>
  <c r="B41" i="2"/>
  <c r="B36" i="2"/>
  <c r="B35" i="2"/>
  <c r="B30" i="2"/>
  <c r="B29" i="2"/>
  <c r="B24" i="2"/>
  <c r="B23" i="2"/>
  <c r="B18" i="2"/>
  <c r="B17" i="2"/>
  <c r="F12" i="2"/>
  <c r="F11" i="2"/>
  <c r="B12" i="2"/>
  <c r="B11" i="2"/>
  <c r="B6" i="2"/>
  <c r="B5" i="2"/>
  <c r="B4" i="2"/>
  <c r="B3" i="2"/>
  <c r="G23" i="2"/>
  <c r="B2" i="2"/>
  <c r="G35" i="2"/>
  <c r="C42" i="2"/>
  <c r="C35" i="2"/>
  <c r="G30" i="2"/>
  <c r="G41" i="2"/>
  <c r="C17" i="2"/>
  <c r="G29" i="2"/>
  <c r="C41" i="2"/>
  <c r="G36" i="2"/>
  <c r="C29" i="2"/>
  <c r="C18" i="2"/>
  <c r="C30" i="2"/>
  <c r="G17" i="2"/>
  <c r="G18" i="2"/>
  <c r="G42" i="2"/>
  <c r="C36" i="2"/>
  <c r="C24" i="2"/>
  <c r="B7" i="2"/>
  <c r="C23" i="2"/>
  <c r="G24" i="2"/>
  <c r="G12" i="2"/>
  <c r="C12" i="2"/>
  <c r="C11" i="2"/>
  <c r="G11" i="2"/>
</calcChain>
</file>

<file path=xl/sharedStrings.xml><?xml version="1.0" encoding="utf-8"?>
<sst xmlns="http://schemas.openxmlformats.org/spreadsheetml/2006/main" count="915" uniqueCount="239">
  <si>
    <t>mouse_id</t>
  </si>
  <si>
    <t>sex</t>
  </si>
  <si>
    <t>age_at_injection</t>
  </si>
  <si>
    <t>strain</t>
  </si>
  <si>
    <t>tumor_model</t>
  </si>
  <si>
    <t>101NT-3</t>
  </si>
  <si>
    <t>F</t>
  </si>
  <si>
    <t>6070/12740</t>
  </si>
  <si>
    <t>B16</t>
  </si>
  <si>
    <t>449-3</t>
  </si>
  <si>
    <t>M</t>
  </si>
  <si>
    <t>449-4</t>
  </si>
  <si>
    <t>450-1</t>
  </si>
  <si>
    <t>450-3</t>
  </si>
  <si>
    <t>451-3</t>
  </si>
  <si>
    <t>451-4</t>
  </si>
  <si>
    <t>451-5</t>
  </si>
  <si>
    <t>452-1</t>
  </si>
  <si>
    <t>460-1</t>
  </si>
  <si>
    <t>461-1</t>
  </si>
  <si>
    <t>462-3</t>
  </si>
  <si>
    <t>462-4</t>
  </si>
  <si>
    <t>463-1</t>
  </si>
  <si>
    <t>464-1</t>
  </si>
  <si>
    <t>6113/12775</t>
  </si>
  <si>
    <t>464-2</t>
  </si>
  <si>
    <t>468-4</t>
  </si>
  <si>
    <t>469-1</t>
  </si>
  <si>
    <t>474-1</t>
  </si>
  <si>
    <t>474-2</t>
  </si>
  <si>
    <t>474-3</t>
  </si>
  <si>
    <t>474-4</t>
  </si>
  <si>
    <t>474-5</t>
  </si>
  <si>
    <t>475-1</t>
  </si>
  <si>
    <t>475-2</t>
  </si>
  <si>
    <t>484-1</t>
  </si>
  <si>
    <t>484-2</t>
  </si>
  <si>
    <t>484-4</t>
  </si>
  <si>
    <t>485-1</t>
  </si>
  <si>
    <t>485-2</t>
  </si>
  <si>
    <t>485-3</t>
  </si>
  <si>
    <t>485-4</t>
  </si>
  <si>
    <t>486-3</t>
  </si>
  <si>
    <t>487-2</t>
  </si>
  <si>
    <t>487-4</t>
  </si>
  <si>
    <t>488-3</t>
  </si>
  <si>
    <t>489-1</t>
  </si>
  <si>
    <t>491-2</t>
  </si>
  <si>
    <t>491-3</t>
  </si>
  <si>
    <t>497-1</t>
  </si>
  <si>
    <t>497-2</t>
  </si>
  <si>
    <t>498-1</t>
  </si>
  <si>
    <t>498-2</t>
  </si>
  <si>
    <t>499-1</t>
  </si>
  <si>
    <t>499-2</t>
  </si>
  <si>
    <t>502-1</t>
  </si>
  <si>
    <t>502-3</t>
  </si>
  <si>
    <t>453-2</t>
  </si>
  <si>
    <t>454-3</t>
  </si>
  <si>
    <t>455-1</t>
  </si>
  <si>
    <t>455-2</t>
  </si>
  <si>
    <t>456-4</t>
  </si>
  <si>
    <t>515-1</t>
  </si>
  <si>
    <t>515-2</t>
  </si>
  <si>
    <t>516-2</t>
  </si>
  <si>
    <t>517-1</t>
  </si>
  <si>
    <t>518-1</t>
  </si>
  <si>
    <t>518-2</t>
  </si>
  <si>
    <t>519-1</t>
  </si>
  <si>
    <t>519-3</t>
  </si>
  <si>
    <t>520-1</t>
  </si>
  <si>
    <t>520-2</t>
  </si>
  <si>
    <t>521-1</t>
  </si>
  <si>
    <t>521-2</t>
  </si>
  <si>
    <t>522-1</t>
  </si>
  <si>
    <t>522-2</t>
  </si>
  <si>
    <t>524-1</t>
  </si>
  <si>
    <t>524-2</t>
  </si>
  <si>
    <t>525-1</t>
  </si>
  <si>
    <t>525-2</t>
  </si>
  <si>
    <t>531-1</t>
  </si>
  <si>
    <t>B16PD1</t>
  </si>
  <si>
    <t>531-2</t>
  </si>
  <si>
    <t>532-1</t>
  </si>
  <si>
    <t>532-2</t>
  </si>
  <si>
    <t>533-1</t>
  </si>
  <si>
    <t>533-2</t>
  </si>
  <si>
    <t>533-3</t>
  </si>
  <si>
    <t>534-1</t>
  </si>
  <si>
    <t>534-2</t>
  </si>
  <si>
    <t>534-3</t>
  </si>
  <si>
    <t>537-1</t>
  </si>
  <si>
    <t>537-2</t>
  </si>
  <si>
    <t>537-4</t>
  </si>
  <si>
    <t>18-2</t>
  </si>
  <si>
    <t>EL4</t>
  </si>
  <si>
    <t>19-2</t>
  </si>
  <si>
    <t>22-3</t>
  </si>
  <si>
    <t>24-1</t>
  </si>
  <si>
    <t>25-3</t>
  </si>
  <si>
    <t>26-4</t>
  </si>
  <si>
    <t>27-3</t>
  </si>
  <si>
    <t>28-1</t>
  </si>
  <si>
    <t>28-2</t>
  </si>
  <si>
    <t>28-3</t>
  </si>
  <si>
    <t>28-4</t>
  </si>
  <si>
    <t>29-2</t>
  </si>
  <si>
    <t>32-1</t>
  </si>
  <si>
    <t>32-2</t>
  </si>
  <si>
    <t>32-3</t>
  </si>
  <si>
    <t>33-2</t>
  </si>
  <si>
    <t>34-5</t>
  </si>
  <si>
    <t>36-2</t>
  </si>
  <si>
    <t>36-3</t>
  </si>
  <si>
    <t>36-4</t>
  </si>
  <si>
    <t>37-2</t>
  </si>
  <si>
    <t>38-3</t>
  </si>
  <si>
    <t>13-1</t>
  </si>
  <si>
    <t>13-3</t>
  </si>
  <si>
    <t>14-1</t>
  </si>
  <si>
    <t>16-1</t>
  </si>
  <si>
    <t>16-2</t>
  </si>
  <si>
    <t>16-3</t>
  </si>
  <si>
    <t>16-4</t>
  </si>
  <si>
    <t>17-1</t>
  </si>
  <si>
    <t>17-3</t>
  </si>
  <si>
    <t>104-1</t>
  </si>
  <si>
    <t>EL4PD1</t>
  </si>
  <si>
    <t>104-3</t>
  </si>
  <si>
    <t>105-2</t>
  </si>
  <si>
    <t>113-1</t>
  </si>
  <si>
    <t>113-2</t>
  </si>
  <si>
    <t>114-1</t>
  </si>
  <si>
    <t>115-2</t>
  </si>
  <si>
    <t>115-3</t>
  </si>
  <si>
    <t>116-1</t>
  </si>
  <si>
    <t>116-3</t>
  </si>
  <si>
    <t>117-3</t>
  </si>
  <si>
    <t>118-1</t>
  </si>
  <si>
    <t>118-3</t>
  </si>
  <si>
    <t>119-1</t>
  </si>
  <si>
    <t>119-4</t>
  </si>
  <si>
    <t>149-2</t>
  </si>
  <si>
    <t>167-1</t>
  </si>
  <si>
    <t>LLC</t>
  </si>
  <si>
    <t>168-1</t>
  </si>
  <si>
    <t>169-2</t>
  </si>
  <si>
    <t>170-1</t>
  </si>
  <si>
    <t>171-2</t>
  </si>
  <si>
    <t>172-2</t>
  </si>
  <si>
    <t>173-3</t>
  </si>
  <si>
    <t>174-1</t>
  </si>
  <si>
    <t>39-4</t>
  </si>
  <si>
    <t>41-1</t>
  </si>
  <si>
    <t>43-2</t>
  </si>
  <si>
    <t>44-2</t>
  </si>
  <si>
    <t>45-1</t>
  </si>
  <si>
    <t>46-2</t>
  </si>
  <si>
    <t>47-1</t>
  </si>
  <si>
    <t>47-2</t>
  </si>
  <si>
    <t>48-1</t>
  </si>
  <si>
    <t>48-4</t>
  </si>
  <si>
    <t>49-1</t>
  </si>
  <si>
    <t>52-2</t>
  </si>
  <si>
    <t>52-5</t>
  </si>
  <si>
    <t>54-2</t>
  </si>
  <si>
    <t>54-3</t>
  </si>
  <si>
    <t>54-4</t>
  </si>
  <si>
    <t>55-2</t>
  </si>
  <si>
    <t>59-1</t>
  </si>
  <si>
    <t>60-1</t>
  </si>
  <si>
    <t>60-2</t>
  </si>
  <si>
    <t>61-2</t>
  </si>
  <si>
    <t>62-1</t>
  </si>
  <si>
    <t>63-1</t>
  </si>
  <si>
    <t>64-1</t>
  </si>
  <si>
    <t>64-2</t>
  </si>
  <si>
    <t>64-5</t>
  </si>
  <si>
    <t>65-1</t>
  </si>
  <si>
    <t>67-1</t>
  </si>
  <si>
    <t>67-2</t>
  </si>
  <si>
    <t>67-3</t>
  </si>
  <si>
    <t>67-4</t>
  </si>
  <si>
    <t>68-1</t>
  </si>
  <si>
    <t>70-1</t>
  </si>
  <si>
    <t>70-2</t>
  </si>
  <si>
    <t>70-3</t>
  </si>
  <si>
    <t>72-3</t>
  </si>
  <si>
    <t>114-3</t>
  </si>
  <si>
    <t>116-2</t>
  </si>
  <si>
    <t>117-1</t>
  </si>
  <si>
    <t>118-2</t>
  </si>
  <si>
    <t>149-4</t>
  </si>
  <si>
    <t>150-2</t>
  </si>
  <si>
    <t>150-3</t>
  </si>
  <si>
    <t>152-1</t>
  </si>
  <si>
    <t>152-2</t>
  </si>
  <si>
    <t>152-3</t>
  </si>
  <si>
    <t>153-3</t>
  </si>
  <si>
    <t>154-1</t>
  </si>
  <si>
    <t>156-2</t>
  </si>
  <si>
    <t>156-3</t>
  </si>
  <si>
    <t>156-4</t>
  </si>
  <si>
    <t>157-1</t>
  </si>
  <si>
    <t>157-2</t>
  </si>
  <si>
    <t>157-3</t>
  </si>
  <si>
    <t>160-2</t>
  </si>
  <si>
    <t>160-3</t>
  </si>
  <si>
    <t>161-4</t>
  </si>
  <si>
    <t>163-1</t>
  </si>
  <si>
    <t>163-2</t>
  </si>
  <si>
    <t>163-3</t>
  </si>
  <si>
    <t>174-2</t>
  </si>
  <si>
    <t>174-3</t>
  </si>
  <si>
    <t>1-1</t>
  </si>
  <si>
    <t>1-2</t>
  </si>
  <si>
    <t>2-2</t>
  </si>
  <si>
    <t>3-4</t>
  </si>
  <si>
    <t>4-2</t>
  </si>
  <si>
    <t>5-2</t>
  </si>
  <si>
    <t>12-3</t>
  </si>
  <si>
    <t>count</t>
  </si>
  <si>
    <t>percent</t>
  </si>
  <si>
    <t>tumor_model = all</t>
  </si>
  <si>
    <t>tumor_model = B16</t>
  </si>
  <si>
    <t>tumor_model = B16PD1</t>
  </si>
  <si>
    <t>tumor_model = EL4</t>
  </si>
  <si>
    <t>tumor_model = EL4PD1</t>
  </si>
  <si>
    <t>tumor_model = LLC</t>
  </si>
  <si>
    <t>ave_age_wks</t>
  </si>
  <si>
    <t>stdev_age_wks</t>
  </si>
  <si>
    <t>total_n</t>
  </si>
  <si>
    <t>all</t>
  </si>
  <si>
    <t>left_tumor_area</t>
  </si>
  <si>
    <t>right_tumor_area</t>
  </si>
  <si>
    <t>left_tumor_%CD4</t>
  </si>
  <si>
    <t>left_tumor_%CD8</t>
  </si>
  <si>
    <t>right_tumor_%CD4</t>
  </si>
  <si>
    <t>right_tumor_%CD8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</si>
</sst>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quotePrefix="1"/>
    <xf numFmtId="0" fontId="16" fillId="0" borderId="0" xfId="0" applyFont="1"/>
    <xf numFmtId="0" fontId="0" fillId="0" borderId="10" xfId="0" applyBorder="1"/>
    <xf numFmtId="0" fontId="18" fillId="0" borderId="0" xfId="0" applyFont="1"/>
    <xf numFmtId="164" fontId="0" fillId="0" borderId="0" xfId="0" applyNumberFormat="1"/>
    <xf numFmtId="0" fontId="16" fillId="0" borderId="0" xfId="0" applyFont="1" applyAlignment="1">
      <alignment horizontal="left"/>
    </xf>
    <xf numFmtId="165" fontId="0" fillId="0" borderId="0" xfId="0" applyNumberFormat="1"/>
    <xf numFmtId="165" fontId="0" fillId="0" borderId="10" xfId="0" applyNumberFormat="1" applyBorder="1"/>
    <xf numFmtId="2" fontId="0" fillId="0" borderId="0" xfId="0" applyNumberFormat="1"/>
    <xf numFmtId="2" fontId="21" fillId="0" borderId="0" xfId="0" applyNumberFormat="1" applyFont="1"/>
    <xf numFmtId="2" fontId="22" fillId="0" borderId="0" xfId="0" applyNumberFormat="1" applyFont="1"/>
    <xf numFmtId="0" fontId="21" fillId="0" borderId="0" xfId="0" applyFont="1"/>
    <xf numFmtId="0" fontId="22" fillId="0" borderId="0" xfId="0" applyFont="1"/>
  </cellXfs>
  <cellStyles count="50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pane ySplit="1" topLeftCell="A2" activePane="bottomLeft" state="frozen"/>
      <selection pane="bottomLeft" activeCell="A93" sqref="A93:XFD105"/>
    </sheetView>
  </sheetViews>
  <sheetFormatPr baseColWidth="10" defaultRowHeight="15" x14ac:dyDescent="0"/>
  <cols>
    <col min="2" max="2" width="3.83203125" bestFit="1" customWidth="1"/>
    <col min="3" max="3" width="14.83203125" bestFit="1" customWidth="1"/>
    <col min="5" max="5" width="12.33203125" bestFit="1" customWidth="1"/>
    <col min="6" max="6" width="14.6640625" style="9" bestFit="1" customWidth="1"/>
    <col min="7" max="7" width="15.6640625" style="9" bestFit="1" customWidth="1"/>
    <col min="8" max="9" width="15.83203125" style="9" bestFit="1" customWidth="1"/>
    <col min="10" max="11" width="16.83203125" style="9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s="9" t="s">
        <v>233</v>
      </c>
      <c r="G1" s="9" t="s">
        <v>234</v>
      </c>
      <c r="H1" s="9" t="s">
        <v>235</v>
      </c>
      <c r="I1" s="9" t="s">
        <v>236</v>
      </c>
      <c r="J1" s="9" t="s">
        <v>237</v>
      </c>
      <c r="K1" s="9" t="s">
        <v>238</v>
      </c>
    </row>
    <row r="2" spans="1:11">
      <c r="A2" s="1" t="s">
        <v>214</v>
      </c>
      <c r="B2" t="s">
        <v>10</v>
      </c>
      <c r="C2">
        <v>7</v>
      </c>
      <c r="D2" t="s">
        <v>7</v>
      </c>
      <c r="E2" t="s">
        <v>8</v>
      </c>
      <c r="H2">
        <v>0.308</v>
      </c>
      <c r="I2">
        <v>0.22600000000000001</v>
      </c>
      <c r="J2">
        <v>0.22600000000000001</v>
      </c>
      <c r="K2">
        <v>7.1900000000000006E-2</v>
      </c>
    </row>
    <row r="3" spans="1:11">
      <c r="A3" s="1" t="s">
        <v>215</v>
      </c>
      <c r="B3" t="s">
        <v>10</v>
      </c>
      <c r="C3">
        <v>7</v>
      </c>
      <c r="D3" t="s">
        <v>7</v>
      </c>
      <c r="E3" t="s">
        <v>8</v>
      </c>
      <c r="H3">
        <v>9</v>
      </c>
      <c r="I3">
        <v>11.4</v>
      </c>
      <c r="J3">
        <v>0.192</v>
      </c>
      <c r="K3">
        <v>0.36299999999999999</v>
      </c>
    </row>
    <row r="4" spans="1:11">
      <c r="A4" s="1" t="s">
        <v>216</v>
      </c>
      <c r="B4" t="s">
        <v>6</v>
      </c>
      <c r="C4">
        <v>7</v>
      </c>
      <c r="D4" t="s">
        <v>7</v>
      </c>
      <c r="E4" t="s">
        <v>8</v>
      </c>
      <c r="H4">
        <v>2.46</v>
      </c>
      <c r="I4">
        <v>1.35</v>
      </c>
      <c r="J4">
        <v>0.40400000000000003</v>
      </c>
      <c r="K4">
        <v>0.186</v>
      </c>
    </row>
    <row r="5" spans="1:11">
      <c r="A5" s="1" t="s">
        <v>217</v>
      </c>
      <c r="B5" t="s">
        <v>6</v>
      </c>
      <c r="C5">
        <v>6</v>
      </c>
      <c r="D5" t="s">
        <v>7</v>
      </c>
      <c r="E5" t="s">
        <v>8</v>
      </c>
      <c r="H5">
        <v>2.64</v>
      </c>
      <c r="I5">
        <v>1.2</v>
      </c>
      <c r="J5">
        <v>0.58099999999999996</v>
      </c>
      <c r="K5">
        <v>0.23400000000000001</v>
      </c>
    </row>
    <row r="6" spans="1:11">
      <c r="A6" s="1" t="s">
        <v>218</v>
      </c>
      <c r="B6" t="s">
        <v>10</v>
      </c>
      <c r="C6">
        <v>6</v>
      </c>
      <c r="D6" t="s">
        <v>7</v>
      </c>
      <c r="E6" t="s">
        <v>8</v>
      </c>
      <c r="H6">
        <v>0.14799999999999999</v>
      </c>
      <c r="I6">
        <v>9.6699999999999994E-2</v>
      </c>
      <c r="J6">
        <v>0.218</v>
      </c>
      <c r="K6">
        <v>0.12</v>
      </c>
    </row>
    <row r="7" spans="1:11">
      <c r="A7" s="1" t="s">
        <v>219</v>
      </c>
      <c r="B7" t="s">
        <v>6</v>
      </c>
      <c r="C7">
        <v>6</v>
      </c>
      <c r="D7" t="s">
        <v>7</v>
      </c>
      <c r="E7" t="s">
        <v>8</v>
      </c>
      <c r="H7">
        <v>0.48499999999999999</v>
      </c>
      <c r="I7">
        <v>0.249</v>
      </c>
      <c r="J7">
        <v>0.23599999999999999</v>
      </c>
      <c r="K7">
        <v>9.9900000000000003E-2</v>
      </c>
    </row>
    <row r="8" spans="1:11">
      <c r="A8" s="1" t="s">
        <v>220</v>
      </c>
      <c r="B8" t="s">
        <v>10</v>
      </c>
      <c r="C8">
        <v>7.1</v>
      </c>
      <c r="D8" t="s">
        <v>24</v>
      </c>
      <c r="E8" t="s">
        <v>8</v>
      </c>
      <c r="F8" s="9">
        <v>0</v>
      </c>
      <c r="G8" s="9">
        <v>0</v>
      </c>
      <c r="H8">
        <v>0.78800000000000003</v>
      </c>
      <c r="I8">
        <v>0.68</v>
      </c>
      <c r="J8">
        <v>0.47399999999999998</v>
      </c>
      <c r="K8">
        <v>0.36899999999999999</v>
      </c>
    </row>
    <row r="9" spans="1:11">
      <c r="A9" t="s">
        <v>5</v>
      </c>
      <c r="B9" t="s">
        <v>6</v>
      </c>
      <c r="C9">
        <v>9.1</v>
      </c>
      <c r="D9" t="s">
        <v>7</v>
      </c>
      <c r="E9" t="s">
        <v>8</v>
      </c>
      <c r="F9" s="9">
        <v>483.10319999999996</v>
      </c>
      <c r="G9" s="9">
        <v>432.32639999999998</v>
      </c>
    </row>
    <row r="10" spans="1:11">
      <c r="A10" t="s">
        <v>117</v>
      </c>
      <c r="B10" t="s">
        <v>6</v>
      </c>
      <c r="C10">
        <v>6.3</v>
      </c>
      <c r="D10" t="s">
        <v>7</v>
      </c>
      <c r="E10" t="s">
        <v>8</v>
      </c>
      <c r="F10" s="9">
        <v>0</v>
      </c>
      <c r="G10" s="9">
        <f>11.92*11.95</f>
        <v>142.44399999999999</v>
      </c>
      <c r="H10">
        <v>5.46</v>
      </c>
      <c r="I10">
        <v>9.44</v>
      </c>
      <c r="J10">
        <v>2.78</v>
      </c>
      <c r="K10">
        <v>3.3</v>
      </c>
    </row>
    <row r="11" spans="1:11">
      <c r="A11" t="s">
        <v>118</v>
      </c>
      <c r="B11" t="s">
        <v>6</v>
      </c>
      <c r="C11">
        <v>6.3</v>
      </c>
      <c r="D11" t="s">
        <v>7</v>
      </c>
      <c r="E11" t="s">
        <v>8</v>
      </c>
      <c r="F11" s="9">
        <v>0</v>
      </c>
      <c r="G11" s="9">
        <f>12.22*10.01</f>
        <v>122.32220000000001</v>
      </c>
      <c r="H11">
        <v>13.7</v>
      </c>
      <c r="I11">
        <v>5.42</v>
      </c>
      <c r="J11">
        <v>1.4</v>
      </c>
      <c r="K11">
        <v>0.505</v>
      </c>
    </row>
    <row r="12" spans="1:11">
      <c r="A12" t="s">
        <v>119</v>
      </c>
      <c r="B12" t="s">
        <v>6</v>
      </c>
      <c r="C12">
        <v>6.3</v>
      </c>
      <c r="D12" t="s">
        <v>7</v>
      </c>
      <c r="E12" t="s">
        <v>8</v>
      </c>
      <c r="F12" s="9">
        <v>0</v>
      </c>
      <c r="G12" s="9">
        <f>11.73*12.32</f>
        <v>144.5136</v>
      </c>
      <c r="H12">
        <v>0.94199999999999995</v>
      </c>
      <c r="I12">
        <v>0.5</v>
      </c>
      <c r="J12">
        <v>1.19</v>
      </c>
      <c r="K12">
        <v>0.621</v>
      </c>
    </row>
    <row r="13" spans="1:11">
      <c r="A13" t="s">
        <v>120</v>
      </c>
      <c r="B13" t="s">
        <v>10</v>
      </c>
      <c r="C13">
        <v>6.3</v>
      </c>
      <c r="D13" t="s">
        <v>24</v>
      </c>
      <c r="E13" t="s">
        <v>8</v>
      </c>
      <c r="F13" s="9">
        <f>15.95*24.95</f>
        <v>397.95249999999999</v>
      </c>
      <c r="G13" s="9">
        <f>14.5*20.47</f>
        <v>296.815</v>
      </c>
      <c r="H13">
        <v>0.55300000000000005</v>
      </c>
      <c r="I13">
        <v>0.41699999999999998</v>
      </c>
      <c r="J13">
        <v>0.214</v>
      </c>
      <c r="K13">
        <v>0.17799999999999999</v>
      </c>
    </row>
    <row r="14" spans="1:11">
      <c r="A14" t="s">
        <v>121</v>
      </c>
      <c r="B14" t="s">
        <v>10</v>
      </c>
      <c r="C14">
        <v>6.3</v>
      </c>
      <c r="D14" t="s">
        <v>24</v>
      </c>
      <c r="E14" t="s">
        <v>8</v>
      </c>
      <c r="F14" s="9">
        <f>14.46*10.69</f>
        <v>154.57740000000001</v>
      </c>
      <c r="G14" s="9">
        <f>16.69*21.01</f>
        <v>350.65690000000006</v>
      </c>
      <c r="H14">
        <v>2.59</v>
      </c>
      <c r="I14">
        <v>2.52</v>
      </c>
      <c r="J14">
        <v>0.246</v>
      </c>
      <c r="K14">
        <v>0.158</v>
      </c>
    </row>
    <row r="15" spans="1:11">
      <c r="A15" t="s">
        <v>122</v>
      </c>
      <c r="B15" t="s">
        <v>10</v>
      </c>
      <c r="C15">
        <v>6.3</v>
      </c>
      <c r="D15" t="s">
        <v>24</v>
      </c>
      <c r="E15" t="s">
        <v>8</v>
      </c>
      <c r="F15" s="9">
        <f>18.32*12.05</f>
        <v>220.75600000000003</v>
      </c>
      <c r="G15" s="9">
        <f>11.64*19.13</f>
        <v>222.67320000000001</v>
      </c>
      <c r="H15">
        <v>3.8</v>
      </c>
      <c r="I15">
        <v>2.44</v>
      </c>
      <c r="J15">
        <v>1.01</v>
      </c>
      <c r="K15">
        <v>0.61099999999999999</v>
      </c>
    </row>
    <row r="16" spans="1:11">
      <c r="A16" t="s">
        <v>123</v>
      </c>
      <c r="B16" t="s">
        <v>10</v>
      </c>
      <c r="C16">
        <v>6.3</v>
      </c>
      <c r="D16" t="s">
        <v>24</v>
      </c>
      <c r="E16" t="s">
        <v>8</v>
      </c>
      <c r="F16" s="9">
        <f>11.7*17.49</f>
        <v>204.63299999999998</v>
      </c>
      <c r="G16" s="9">
        <f>10.87*19.44</f>
        <v>211.31280000000001</v>
      </c>
      <c r="H16">
        <v>1.98</v>
      </c>
      <c r="I16">
        <v>0.89200000000000002</v>
      </c>
      <c r="J16">
        <v>2.04</v>
      </c>
      <c r="K16">
        <v>1.28</v>
      </c>
    </row>
    <row r="17" spans="1:11">
      <c r="A17" t="s">
        <v>124</v>
      </c>
      <c r="B17" t="s">
        <v>6</v>
      </c>
      <c r="C17">
        <v>6.3</v>
      </c>
      <c r="D17" t="s">
        <v>24</v>
      </c>
      <c r="E17" t="s">
        <v>8</v>
      </c>
      <c r="F17" s="9">
        <f>13.85*19.51</f>
        <v>270.21350000000001</v>
      </c>
      <c r="G17" s="9">
        <f>21.95*17.89</f>
        <v>392.68549999999999</v>
      </c>
      <c r="H17">
        <v>0.30199999999999999</v>
      </c>
      <c r="I17">
        <v>0.24399999999999999</v>
      </c>
      <c r="J17">
        <v>0.371</v>
      </c>
      <c r="K17">
        <v>0.27300000000000002</v>
      </c>
    </row>
    <row r="18" spans="1:11">
      <c r="A18" t="s">
        <v>125</v>
      </c>
      <c r="B18" t="s">
        <v>6</v>
      </c>
      <c r="C18">
        <v>6.3</v>
      </c>
      <c r="D18" t="s">
        <v>24</v>
      </c>
      <c r="E18" t="s">
        <v>8</v>
      </c>
      <c r="F18" s="9">
        <f>17.42*21.35</f>
        <v>371.91700000000009</v>
      </c>
      <c r="G18" s="9">
        <f>14.64*23.55</f>
        <v>344.77200000000005</v>
      </c>
      <c r="H18">
        <v>0.41099999999999998</v>
      </c>
      <c r="I18">
        <v>0.38900000000000001</v>
      </c>
      <c r="J18">
        <v>0.17399999999999999</v>
      </c>
      <c r="K18">
        <v>0.48099999999999998</v>
      </c>
    </row>
    <row r="19" spans="1:11">
      <c r="A19" t="s">
        <v>9</v>
      </c>
      <c r="B19" t="s">
        <v>10</v>
      </c>
      <c r="C19">
        <v>7.1</v>
      </c>
      <c r="D19" t="s">
        <v>7</v>
      </c>
      <c r="E19" t="s">
        <v>8</v>
      </c>
      <c r="F19" s="9">
        <v>324.61850000000004</v>
      </c>
      <c r="G19" s="9">
        <v>456.01819999999992</v>
      </c>
      <c r="H19" s="9">
        <v>0.38100000000000001</v>
      </c>
      <c r="I19" s="9">
        <v>0.254</v>
      </c>
      <c r="J19" s="9">
        <v>0.223</v>
      </c>
      <c r="K19" s="9">
        <v>0.157</v>
      </c>
    </row>
    <row r="20" spans="1:11">
      <c r="A20" t="s">
        <v>11</v>
      </c>
      <c r="B20" t="s">
        <v>10</v>
      </c>
      <c r="C20">
        <v>7.1</v>
      </c>
      <c r="D20" t="s">
        <v>7</v>
      </c>
      <c r="E20" t="s">
        <v>8</v>
      </c>
      <c r="F20" s="9">
        <v>292.80279999999999</v>
      </c>
      <c r="G20" s="9">
        <v>421.31380000000001</v>
      </c>
      <c r="H20" s="9">
        <v>0.376</v>
      </c>
      <c r="I20" s="9">
        <v>0.91700000000000004</v>
      </c>
      <c r="J20" s="9">
        <v>0.186</v>
      </c>
      <c r="K20" s="9">
        <v>0.5</v>
      </c>
    </row>
    <row r="21" spans="1:11">
      <c r="A21" t="s">
        <v>12</v>
      </c>
      <c r="B21" t="s">
        <v>6</v>
      </c>
      <c r="C21">
        <v>7.1</v>
      </c>
      <c r="D21" t="s">
        <v>7</v>
      </c>
      <c r="E21" t="s">
        <v>8</v>
      </c>
      <c r="F21" s="9">
        <v>0</v>
      </c>
      <c r="G21" s="9">
        <v>679.73280000000011</v>
      </c>
      <c r="H21" s="9">
        <v>0.23200000000000001</v>
      </c>
      <c r="I21" s="9">
        <v>0.21299999999999999</v>
      </c>
      <c r="J21" s="9">
        <v>0.16400000000000001</v>
      </c>
      <c r="K21" s="9">
        <v>0.46</v>
      </c>
    </row>
    <row r="22" spans="1:11">
      <c r="A22" t="s">
        <v>13</v>
      </c>
      <c r="B22" t="s">
        <v>6</v>
      </c>
      <c r="C22">
        <v>7.1</v>
      </c>
      <c r="D22" t="s">
        <v>7</v>
      </c>
      <c r="E22" t="s">
        <v>8</v>
      </c>
      <c r="F22" s="9">
        <v>158.596</v>
      </c>
      <c r="G22" s="9">
        <v>293.82990000000001</v>
      </c>
      <c r="H22" s="9">
        <v>5.27</v>
      </c>
      <c r="I22" s="9">
        <v>8.11</v>
      </c>
      <c r="J22" s="9">
        <v>1.85</v>
      </c>
      <c r="K22" s="9">
        <v>2.2999999999999998</v>
      </c>
    </row>
    <row r="23" spans="1:11">
      <c r="A23" t="s">
        <v>14</v>
      </c>
      <c r="B23" t="s">
        <v>10</v>
      </c>
      <c r="C23">
        <v>7.1</v>
      </c>
      <c r="D23" t="s">
        <v>7</v>
      </c>
      <c r="E23" t="s">
        <v>8</v>
      </c>
      <c r="F23" s="9">
        <v>291.35599999999994</v>
      </c>
      <c r="G23" s="9">
        <v>254.87219999999996</v>
      </c>
      <c r="H23" s="9">
        <v>0.38800000000000001</v>
      </c>
      <c r="I23" s="9">
        <v>0.68600000000000005</v>
      </c>
      <c r="J23" s="9">
        <v>0.99299999999999999</v>
      </c>
      <c r="K23" s="9">
        <v>0.221</v>
      </c>
    </row>
    <row r="24" spans="1:11">
      <c r="A24" t="s">
        <v>15</v>
      </c>
      <c r="B24" t="s">
        <v>10</v>
      </c>
      <c r="C24">
        <v>7.1</v>
      </c>
      <c r="D24" t="s">
        <v>7</v>
      </c>
      <c r="E24" t="s">
        <v>8</v>
      </c>
      <c r="F24" s="9">
        <v>555.15150000000006</v>
      </c>
      <c r="G24" s="9">
        <v>319.33080000000001</v>
      </c>
      <c r="H24" s="9">
        <v>4.5700000000000003E-3</v>
      </c>
      <c r="I24" s="9">
        <v>0.12</v>
      </c>
      <c r="J24" s="9">
        <v>8.6599999999999996E-2</v>
      </c>
      <c r="K24" s="9">
        <v>0.219</v>
      </c>
    </row>
    <row r="25" spans="1:11">
      <c r="A25" t="s">
        <v>16</v>
      </c>
      <c r="B25" t="s">
        <v>10</v>
      </c>
      <c r="C25">
        <v>7.1</v>
      </c>
      <c r="D25" t="s">
        <v>7</v>
      </c>
      <c r="E25" t="s">
        <v>8</v>
      </c>
      <c r="F25" s="9">
        <v>251.51710000000003</v>
      </c>
      <c r="G25" s="9">
        <v>276.08</v>
      </c>
      <c r="H25" s="9">
        <v>1.19</v>
      </c>
      <c r="I25" s="9">
        <v>2.93</v>
      </c>
      <c r="J25" s="9">
        <v>1.35</v>
      </c>
      <c r="K25" s="9">
        <v>2.86</v>
      </c>
    </row>
    <row r="26" spans="1:11">
      <c r="A26" t="s">
        <v>17</v>
      </c>
      <c r="B26" t="s">
        <v>6</v>
      </c>
      <c r="C26">
        <v>7.4</v>
      </c>
      <c r="D26" t="s">
        <v>7</v>
      </c>
      <c r="E26" t="s">
        <v>8</v>
      </c>
      <c r="F26" s="9">
        <v>281.6712</v>
      </c>
      <c r="G26" s="9">
        <v>313.28480000000002</v>
      </c>
      <c r="H26" s="9">
        <v>0.193</v>
      </c>
      <c r="I26" s="9">
        <v>0.3</v>
      </c>
      <c r="J26" s="9">
        <v>3.56E-2</v>
      </c>
      <c r="K26" s="9">
        <v>2.6100000000000002E-2</v>
      </c>
    </row>
    <row r="27" spans="1:11">
      <c r="A27" t="s">
        <v>57</v>
      </c>
      <c r="B27" t="s">
        <v>10</v>
      </c>
      <c r="C27">
        <v>6.3</v>
      </c>
      <c r="D27" t="s">
        <v>24</v>
      </c>
      <c r="E27" t="s">
        <v>8</v>
      </c>
      <c r="F27" s="9">
        <v>456.47460000000001</v>
      </c>
      <c r="G27" s="9">
        <v>481.137</v>
      </c>
      <c r="H27" s="9">
        <v>5.5E-2</v>
      </c>
      <c r="I27" s="9">
        <v>1.3100000000000001E-2</v>
      </c>
      <c r="J27" s="9">
        <v>1.95E-2</v>
      </c>
      <c r="K27" s="9">
        <v>1.12E-2</v>
      </c>
    </row>
    <row r="28" spans="1:11">
      <c r="A28" t="s">
        <v>58</v>
      </c>
      <c r="B28" t="s">
        <v>6</v>
      </c>
      <c r="C28">
        <v>6.3</v>
      </c>
      <c r="D28" t="s">
        <v>24</v>
      </c>
      <c r="E28" t="s">
        <v>8</v>
      </c>
      <c r="F28" s="9">
        <v>580.97439999999995</v>
      </c>
      <c r="G28" s="9">
        <v>454.29570000000007</v>
      </c>
      <c r="H28" s="9">
        <v>1.3100000000000001E-2</v>
      </c>
      <c r="I28" s="9">
        <v>1.8100000000000002E-2</v>
      </c>
      <c r="J28" s="9">
        <v>0.33300000000000002</v>
      </c>
      <c r="K28" s="9">
        <v>0.20899999999999999</v>
      </c>
    </row>
    <row r="29" spans="1:11">
      <c r="A29" t="s">
        <v>59</v>
      </c>
      <c r="B29" t="s">
        <v>10</v>
      </c>
      <c r="C29">
        <v>6.7</v>
      </c>
      <c r="D29" t="s">
        <v>24</v>
      </c>
      <c r="E29" t="s">
        <v>8</v>
      </c>
      <c r="F29" s="9">
        <v>440.57920000000001</v>
      </c>
      <c r="G29" s="9">
        <v>288.55799999999999</v>
      </c>
      <c r="H29" s="9">
        <v>3.2899999999999999E-2</v>
      </c>
      <c r="I29" s="9">
        <v>3.7499999999999999E-2</v>
      </c>
      <c r="J29" s="9">
        <v>0.14799999999999999</v>
      </c>
      <c r="K29" s="9">
        <v>0.10199999999999999</v>
      </c>
    </row>
    <row r="30" spans="1:11">
      <c r="A30" t="s">
        <v>60</v>
      </c>
      <c r="B30" t="s">
        <v>10</v>
      </c>
      <c r="C30">
        <v>6.7</v>
      </c>
      <c r="D30" t="s">
        <v>24</v>
      </c>
      <c r="E30" t="s">
        <v>8</v>
      </c>
      <c r="F30" s="9">
        <v>341.85449999999992</v>
      </c>
      <c r="G30" s="9">
        <v>329.04300000000001</v>
      </c>
      <c r="H30" s="9">
        <v>0.13100000000000001</v>
      </c>
      <c r="I30" s="9">
        <v>0.20300000000000001</v>
      </c>
      <c r="J30" s="9">
        <v>7.8E-2</v>
      </c>
      <c r="K30" s="9">
        <v>0.31900000000000001</v>
      </c>
    </row>
    <row r="31" spans="1:11">
      <c r="A31" t="s">
        <v>61</v>
      </c>
      <c r="B31" t="s">
        <v>6</v>
      </c>
      <c r="C31">
        <v>6.7</v>
      </c>
      <c r="D31" t="s">
        <v>24</v>
      </c>
      <c r="E31" t="s">
        <v>8</v>
      </c>
      <c r="F31" s="9">
        <v>283.29399999999998</v>
      </c>
      <c r="G31" s="9">
        <v>556.22799999999995</v>
      </c>
      <c r="H31" s="9">
        <v>4.8099999999999997E-2</v>
      </c>
      <c r="I31" s="9">
        <v>0.371</v>
      </c>
      <c r="J31" s="9">
        <v>0.04</v>
      </c>
      <c r="K31" s="9">
        <v>3.2500000000000001E-2</v>
      </c>
    </row>
    <row r="32" spans="1:11">
      <c r="A32" t="s">
        <v>18</v>
      </c>
      <c r="B32" t="s">
        <v>10</v>
      </c>
      <c r="C32">
        <v>7.7</v>
      </c>
      <c r="D32" t="s">
        <v>7</v>
      </c>
      <c r="E32" t="s">
        <v>8</v>
      </c>
      <c r="F32" s="9">
        <v>342.55679999999995</v>
      </c>
      <c r="G32" s="9">
        <v>323.76839999999999</v>
      </c>
      <c r="H32" s="9">
        <v>0.28000000000000003</v>
      </c>
      <c r="I32" s="9">
        <v>0.185</v>
      </c>
      <c r="J32" s="9">
        <v>0.65900000000000003</v>
      </c>
      <c r="K32" s="9">
        <v>0.26100000000000001</v>
      </c>
    </row>
    <row r="33" spans="1:11">
      <c r="A33" t="s">
        <v>19</v>
      </c>
      <c r="B33" t="s">
        <v>6</v>
      </c>
      <c r="C33">
        <v>7.7</v>
      </c>
      <c r="D33" t="s">
        <v>7</v>
      </c>
      <c r="E33" t="s">
        <v>8</v>
      </c>
      <c r="F33" s="9">
        <v>191.9478</v>
      </c>
      <c r="G33" s="9">
        <v>212.536</v>
      </c>
      <c r="H33" s="9">
        <v>8.0299999999999996E-2</v>
      </c>
      <c r="I33" s="9">
        <v>5.45E-2</v>
      </c>
      <c r="J33" s="9">
        <v>8.5400000000000004E-2</v>
      </c>
      <c r="K33" s="9">
        <v>6.7699999999999996E-2</v>
      </c>
    </row>
    <row r="34" spans="1:11">
      <c r="A34" t="s">
        <v>20</v>
      </c>
      <c r="B34" t="s">
        <v>10</v>
      </c>
      <c r="C34">
        <v>7.6</v>
      </c>
      <c r="D34" t="s">
        <v>7</v>
      </c>
      <c r="E34" t="s">
        <v>8</v>
      </c>
      <c r="F34" s="9">
        <v>295.16759999999999</v>
      </c>
      <c r="G34" s="9">
        <v>256.2525</v>
      </c>
      <c r="H34" s="9">
        <v>7.5200000000000003E-2</v>
      </c>
      <c r="I34" s="9">
        <v>2.4799999999999999E-2</v>
      </c>
      <c r="J34" s="9">
        <v>0.11600000000000001</v>
      </c>
      <c r="K34" s="9">
        <v>0.106</v>
      </c>
    </row>
    <row r="35" spans="1:11">
      <c r="A35" t="s">
        <v>21</v>
      </c>
      <c r="B35" t="s">
        <v>10</v>
      </c>
      <c r="C35">
        <v>7.6</v>
      </c>
      <c r="D35" t="s">
        <v>7</v>
      </c>
      <c r="E35" t="s">
        <v>8</v>
      </c>
      <c r="F35" s="9">
        <v>284.44400000000002</v>
      </c>
      <c r="G35" s="9">
        <v>131.322</v>
      </c>
      <c r="H35" s="9">
        <v>0.104</v>
      </c>
      <c r="I35" s="9">
        <v>0.13200000000000001</v>
      </c>
      <c r="J35" s="9">
        <v>0.16700000000000001</v>
      </c>
      <c r="K35" s="9">
        <v>0.52800000000000002</v>
      </c>
    </row>
    <row r="36" spans="1:11">
      <c r="A36" t="s">
        <v>22</v>
      </c>
      <c r="B36" t="s">
        <v>6</v>
      </c>
      <c r="C36">
        <v>7.6</v>
      </c>
      <c r="D36" t="s">
        <v>7</v>
      </c>
      <c r="E36" t="s">
        <v>8</v>
      </c>
      <c r="F36" s="9">
        <v>273.06659999999999</v>
      </c>
      <c r="G36" s="9">
        <v>454.77530000000002</v>
      </c>
      <c r="H36" s="9">
        <v>0.29599999999999999</v>
      </c>
      <c r="I36" s="9">
        <v>0.26500000000000001</v>
      </c>
      <c r="J36" s="9">
        <v>0.125</v>
      </c>
      <c r="K36" s="9">
        <v>7.6700000000000004E-2</v>
      </c>
    </row>
    <row r="37" spans="1:11">
      <c r="A37" t="s">
        <v>23</v>
      </c>
      <c r="B37" t="s">
        <v>10</v>
      </c>
      <c r="C37">
        <v>7.6</v>
      </c>
      <c r="D37" t="s">
        <v>24</v>
      </c>
      <c r="E37" t="s">
        <v>8</v>
      </c>
      <c r="F37" s="9">
        <v>235.68299999999999</v>
      </c>
      <c r="G37" s="9">
        <v>505.74950000000001</v>
      </c>
      <c r="H37" s="9">
        <v>0.17899999999999999</v>
      </c>
      <c r="I37" s="9">
        <v>7.0800000000000002E-2</v>
      </c>
      <c r="J37" s="9">
        <v>0.104</v>
      </c>
      <c r="K37" s="9">
        <v>4.5100000000000001E-2</v>
      </c>
    </row>
    <row r="38" spans="1:11">
      <c r="A38" t="s">
        <v>25</v>
      </c>
      <c r="B38" t="s">
        <v>10</v>
      </c>
      <c r="C38">
        <v>7.6</v>
      </c>
      <c r="D38" t="s">
        <v>24</v>
      </c>
      <c r="E38" t="s">
        <v>8</v>
      </c>
      <c r="F38" s="9">
        <v>434.83439999999996</v>
      </c>
      <c r="G38" s="9">
        <v>376.23429999999996</v>
      </c>
      <c r="H38" s="9">
        <v>0.12</v>
      </c>
      <c r="I38" s="9">
        <v>6.1800000000000001E-2</v>
      </c>
      <c r="J38" s="9">
        <v>0.154</v>
      </c>
      <c r="K38" s="9">
        <v>6.4100000000000004E-2</v>
      </c>
    </row>
    <row r="39" spans="1:11">
      <c r="A39" t="s">
        <v>26</v>
      </c>
      <c r="B39" t="s">
        <v>10</v>
      </c>
      <c r="C39">
        <v>6.1</v>
      </c>
      <c r="D39" t="s">
        <v>24</v>
      </c>
      <c r="E39" t="s">
        <v>8</v>
      </c>
      <c r="F39" s="9">
        <v>280.63499999999999</v>
      </c>
      <c r="G39" s="9">
        <v>239.86940000000001</v>
      </c>
      <c r="H39" s="9">
        <v>5.8900000000000001E-2</v>
      </c>
      <c r="I39" s="9">
        <v>4.1399999999999999E-2</v>
      </c>
      <c r="J39" s="9">
        <v>3.4200000000000001E-2</v>
      </c>
      <c r="K39" s="9">
        <v>2.9100000000000001E-2</v>
      </c>
    </row>
    <row r="40" spans="1:11">
      <c r="A40" t="s">
        <v>27</v>
      </c>
      <c r="B40" t="s">
        <v>6</v>
      </c>
      <c r="C40">
        <v>6.1</v>
      </c>
      <c r="D40" t="s">
        <v>24</v>
      </c>
      <c r="E40" t="s">
        <v>8</v>
      </c>
      <c r="F40" s="9">
        <v>253.23960000000002</v>
      </c>
      <c r="G40" s="9">
        <v>350.05409999999995</v>
      </c>
      <c r="H40" s="9">
        <v>6.8000000000000005E-2</v>
      </c>
      <c r="I40" s="9">
        <v>3.56E-2</v>
      </c>
      <c r="J40" s="9">
        <v>2.1000000000000001E-2</v>
      </c>
      <c r="K40" s="9">
        <v>1.5699999999999999E-2</v>
      </c>
    </row>
    <row r="41" spans="1:11">
      <c r="A41" t="s">
        <v>28</v>
      </c>
      <c r="B41" t="s">
        <v>10</v>
      </c>
      <c r="C41">
        <v>6.6</v>
      </c>
      <c r="D41" t="s">
        <v>7</v>
      </c>
      <c r="E41" t="s">
        <v>8</v>
      </c>
      <c r="F41" s="9">
        <v>449.51060000000001</v>
      </c>
      <c r="G41" s="9">
        <v>428.93520000000001</v>
      </c>
      <c r="H41" s="9">
        <v>0.70899999999999996</v>
      </c>
      <c r="I41" s="9">
        <v>0.6</v>
      </c>
      <c r="J41" s="9">
        <v>0.32100000000000001</v>
      </c>
      <c r="K41" s="9">
        <v>0.378</v>
      </c>
    </row>
    <row r="42" spans="1:11">
      <c r="A42" t="s">
        <v>29</v>
      </c>
      <c r="B42" t="s">
        <v>10</v>
      </c>
      <c r="C42">
        <v>6.6</v>
      </c>
      <c r="D42" t="s">
        <v>7</v>
      </c>
      <c r="E42" t="s">
        <v>8</v>
      </c>
      <c r="F42" s="9">
        <v>319.63680000000005</v>
      </c>
      <c r="G42" s="9">
        <v>416.06400000000002</v>
      </c>
      <c r="H42" s="9">
        <v>0.16200000000000001</v>
      </c>
      <c r="I42" s="9">
        <v>0.11</v>
      </c>
      <c r="J42" s="9">
        <v>0.28799999999999998</v>
      </c>
      <c r="K42" s="9">
        <v>0.125</v>
      </c>
    </row>
    <row r="43" spans="1:11">
      <c r="A43" t="s">
        <v>30</v>
      </c>
      <c r="B43" t="s">
        <v>10</v>
      </c>
      <c r="C43">
        <v>6.6</v>
      </c>
      <c r="D43" t="s">
        <v>7</v>
      </c>
      <c r="E43" t="s">
        <v>8</v>
      </c>
      <c r="F43" s="9">
        <v>466.32529999999997</v>
      </c>
      <c r="G43" s="9">
        <v>379.00799999999998</v>
      </c>
      <c r="H43" s="9">
        <v>0.43</v>
      </c>
      <c r="I43" s="9">
        <v>0.33100000000000002</v>
      </c>
      <c r="J43" s="9">
        <v>0.35499999999999998</v>
      </c>
      <c r="K43" s="9">
        <v>0.33100000000000002</v>
      </c>
    </row>
    <row r="44" spans="1:11">
      <c r="A44" t="s">
        <v>31</v>
      </c>
      <c r="B44" t="s">
        <v>10</v>
      </c>
      <c r="C44">
        <v>6.6</v>
      </c>
      <c r="D44" t="s">
        <v>7</v>
      </c>
      <c r="E44" t="s">
        <v>8</v>
      </c>
      <c r="F44" s="9">
        <v>436.92440000000005</v>
      </c>
      <c r="G44" s="9">
        <v>476.65100000000001</v>
      </c>
      <c r="H44" s="9">
        <v>0.30099999999999999</v>
      </c>
      <c r="I44" s="9">
        <v>0.28899999999999998</v>
      </c>
      <c r="J44" s="9">
        <v>0.35399999999999998</v>
      </c>
      <c r="K44" s="9">
        <v>0.41</v>
      </c>
    </row>
    <row r="45" spans="1:11">
      <c r="A45" t="s">
        <v>32</v>
      </c>
      <c r="B45" t="s">
        <v>10</v>
      </c>
      <c r="C45">
        <v>6.6</v>
      </c>
      <c r="D45" t="s">
        <v>7</v>
      </c>
      <c r="E45" t="s">
        <v>8</v>
      </c>
      <c r="F45" s="9">
        <v>196.51320000000001</v>
      </c>
      <c r="G45" s="9">
        <v>399.14279999999997</v>
      </c>
      <c r="H45" s="9">
        <v>0.59699999999999998</v>
      </c>
      <c r="I45" s="9">
        <v>0.998</v>
      </c>
      <c r="J45" s="9">
        <v>0.249</v>
      </c>
      <c r="K45" s="9">
        <v>0.10199999999999999</v>
      </c>
    </row>
    <row r="46" spans="1:11">
      <c r="A46" t="s">
        <v>33</v>
      </c>
      <c r="B46" t="s">
        <v>6</v>
      </c>
      <c r="C46">
        <v>6.6</v>
      </c>
      <c r="D46" t="s">
        <v>7</v>
      </c>
      <c r="E46" t="s">
        <v>8</v>
      </c>
      <c r="F46" s="9">
        <v>404.45080000000002</v>
      </c>
      <c r="G46" s="9">
        <v>432.20720000000006</v>
      </c>
      <c r="H46" s="9">
        <v>0.112</v>
      </c>
      <c r="I46" s="9">
        <v>0.106</v>
      </c>
      <c r="J46" s="9">
        <v>0.21</v>
      </c>
      <c r="K46" s="9">
        <v>0.18</v>
      </c>
    </row>
    <row r="47" spans="1:11">
      <c r="A47" t="s">
        <v>34</v>
      </c>
      <c r="B47" t="s">
        <v>6</v>
      </c>
      <c r="C47">
        <v>6.6</v>
      </c>
      <c r="D47" t="s">
        <v>7</v>
      </c>
      <c r="E47" t="s">
        <v>8</v>
      </c>
      <c r="F47" s="9">
        <v>424.25639999999999</v>
      </c>
      <c r="G47" s="9">
        <v>444.6035</v>
      </c>
      <c r="H47" s="9">
        <v>0.20300000000000001</v>
      </c>
      <c r="I47" s="9">
        <v>0.10100000000000001</v>
      </c>
      <c r="J47" s="9">
        <v>0.33</v>
      </c>
      <c r="K47" s="9">
        <v>0.224</v>
      </c>
    </row>
    <row r="48" spans="1:11">
      <c r="A48" t="s">
        <v>35</v>
      </c>
      <c r="B48" t="s">
        <v>10</v>
      </c>
      <c r="C48">
        <v>7.1</v>
      </c>
      <c r="D48" t="s">
        <v>7</v>
      </c>
      <c r="E48" t="s">
        <v>8</v>
      </c>
      <c r="F48" s="9">
        <v>368.46</v>
      </c>
      <c r="G48" s="9">
        <v>445.50100000000003</v>
      </c>
      <c r="H48" s="9">
        <v>0.22800000000000001</v>
      </c>
      <c r="I48" s="9">
        <v>0.86799999999999999</v>
      </c>
      <c r="J48" s="9">
        <v>0.56200000000000006</v>
      </c>
      <c r="K48" s="9">
        <v>1.52</v>
      </c>
    </row>
    <row r="49" spans="1:11">
      <c r="A49" t="s">
        <v>36</v>
      </c>
      <c r="B49" t="s">
        <v>10</v>
      </c>
      <c r="C49">
        <v>7.1</v>
      </c>
      <c r="D49" t="s">
        <v>7</v>
      </c>
      <c r="E49" t="s">
        <v>8</v>
      </c>
      <c r="F49" s="9">
        <v>334.27199999999999</v>
      </c>
      <c r="G49" s="9">
        <v>470.32859999999999</v>
      </c>
      <c r="H49" s="9">
        <v>1.63</v>
      </c>
      <c r="I49" s="9">
        <v>1.35</v>
      </c>
      <c r="J49" s="9">
        <v>0.625</v>
      </c>
      <c r="K49" s="9">
        <v>0.71099999999999997</v>
      </c>
    </row>
    <row r="50" spans="1:11">
      <c r="A50" t="s">
        <v>37</v>
      </c>
      <c r="B50" t="s">
        <v>10</v>
      </c>
      <c r="C50">
        <v>7.1</v>
      </c>
      <c r="D50" t="s">
        <v>7</v>
      </c>
      <c r="E50" t="s">
        <v>8</v>
      </c>
      <c r="F50" s="9">
        <v>282.24889999999999</v>
      </c>
      <c r="G50" s="9">
        <v>484.5335</v>
      </c>
      <c r="H50" s="9">
        <v>0.78600000000000003</v>
      </c>
      <c r="I50" s="9">
        <v>0.98</v>
      </c>
      <c r="J50" s="9">
        <v>0.22500000000000001</v>
      </c>
      <c r="K50" s="9">
        <v>0.14499999999999999</v>
      </c>
    </row>
    <row r="51" spans="1:11">
      <c r="A51" t="s">
        <v>38</v>
      </c>
      <c r="B51" t="s">
        <v>6</v>
      </c>
      <c r="C51">
        <v>7.1</v>
      </c>
      <c r="D51" t="s">
        <v>7</v>
      </c>
      <c r="E51" t="s">
        <v>8</v>
      </c>
      <c r="F51" s="9">
        <v>121.9584</v>
      </c>
      <c r="G51" s="9">
        <v>184.8623</v>
      </c>
      <c r="H51" s="9">
        <v>11.4</v>
      </c>
      <c r="I51" s="9">
        <v>5.57</v>
      </c>
      <c r="J51" s="9">
        <v>2.0099999999999998</v>
      </c>
      <c r="K51" s="9">
        <v>3.66</v>
      </c>
    </row>
    <row r="52" spans="1:11">
      <c r="A52" t="s">
        <v>39</v>
      </c>
      <c r="B52" t="s">
        <v>6</v>
      </c>
      <c r="C52">
        <v>7.1</v>
      </c>
      <c r="D52" t="s">
        <v>7</v>
      </c>
      <c r="E52" t="s">
        <v>8</v>
      </c>
      <c r="F52" s="9">
        <v>127.7821</v>
      </c>
      <c r="G52" s="9">
        <v>346.04829999999998</v>
      </c>
      <c r="H52" s="9">
        <v>2.17</v>
      </c>
      <c r="I52" s="9">
        <v>4.09</v>
      </c>
      <c r="J52" s="9">
        <v>0.57299999999999995</v>
      </c>
      <c r="K52" s="9">
        <v>1.35</v>
      </c>
    </row>
    <row r="53" spans="1:11">
      <c r="A53" t="s">
        <v>40</v>
      </c>
      <c r="B53" t="s">
        <v>6</v>
      </c>
      <c r="C53">
        <v>7.1</v>
      </c>
      <c r="D53" t="s">
        <v>7</v>
      </c>
      <c r="E53" t="s">
        <v>8</v>
      </c>
      <c r="F53" s="9">
        <v>585.81359999999995</v>
      </c>
      <c r="G53" s="9">
        <v>258.66239999999999</v>
      </c>
      <c r="H53" s="9">
        <v>0.45900000000000002</v>
      </c>
      <c r="I53" s="9">
        <v>6.7500000000000004E-2</v>
      </c>
      <c r="J53" s="9">
        <v>0.56399999999999995</v>
      </c>
      <c r="K53" s="9">
        <v>0.46899999999999997</v>
      </c>
    </row>
    <row r="54" spans="1:11">
      <c r="A54" t="s">
        <v>41</v>
      </c>
      <c r="B54" t="s">
        <v>6</v>
      </c>
      <c r="C54">
        <v>7.1</v>
      </c>
      <c r="D54" t="s">
        <v>7</v>
      </c>
      <c r="E54" t="s">
        <v>8</v>
      </c>
      <c r="F54" s="9">
        <v>290.83199999999999</v>
      </c>
      <c r="G54" s="9">
        <v>405.51069999999993</v>
      </c>
      <c r="H54" s="9">
        <v>2.1800000000000002</v>
      </c>
      <c r="I54" s="9">
        <v>0.38900000000000001</v>
      </c>
      <c r="J54" s="9">
        <v>0.84</v>
      </c>
      <c r="K54" s="9">
        <v>0.29299999999999998</v>
      </c>
    </row>
    <row r="55" spans="1:11">
      <c r="A55" t="s">
        <v>42</v>
      </c>
      <c r="B55" t="s">
        <v>10</v>
      </c>
      <c r="C55">
        <v>7</v>
      </c>
      <c r="D55" t="s">
        <v>24</v>
      </c>
      <c r="E55" t="s">
        <v>8</v>
      </c>
      <c r="F55" s="9">
        <v>357.12919999999997</v>
      </c>
      <c r="G55" s="9">
        <v>430.13049999999998</v>
      </c>
      <c r="H55" s="9">
        <v>0.25700000000000001</v>
      </c>
      <c r="I55" s="9">
        <v>0.221</v>
      </c>
      <c r="J55" s="9">
        <v>0.97599999999999998</v>
      </c>
      <c r="K55" s="9">
        <v>0.17199999999999999</v>
      </c>
    </row>
    <row r="56" spans="1:11">
      <c r="A56" t="s">
        <v>43</v>
      </c>
      <c r="B56" t="s">
        <v>10</v>
      </c>
      <c r="C56">
        <v>7.1</v>
      </c>
      <c r="D56" t="s">
        <v>24</v>
      </c>
      <c r="E56" t="s">
        <v>8</v>
      </c>
      <c r="F56" s="9">
        <v>264.41800000000001</v>
      </c>
      <c r="G56" s="9">
        <v>121.5642</v>
      </c>
      <c r="H56" s="9">
        <v>0.379</v>
      </c>
      <c r="I56" s="9">
        <v>0.113</v>
      </c>
      <c r="J56" s="9">
        <v>0.48699999999999999</v>
      </c>
      <c r="K56" s="9">
        <v>0.20399999999999999</v>
      </c>
    </row>
    <row r="57" spans="1:11">
      <c r="A57" t="s">
        <v>44</v>
      </c>
      <c r="B57" t="s">
        <v>10</v>
      </c>
      <c r="C57">
        <v>7.1</v>
      </c>
      <c r="D57" t="s">
        <v>24</v>
      </c>
      <c r="E57" t="s">
        <v>8</v>
      </c>
      <c r="F57" s="9">
        <v>0</v>
      </c>
      <c r="G57" s="9">
        <v>241.15520000000001</v>
      </c>
      <c r="H57" s="9">
        <v>3.68</v>
      </c>
      <c r="I57" s="9">
        <v>1.19</v>
      </c>
      <c r="J57" s="9">
        <v>0.624</v>
      </c>
      <c r="K57" s="9">
        <v>0.21299999999999999</v>
      </c>
    </row>
    <row r="58" spans="1:11">
      <c r="A58" t="s">
        <v>45</v>
      </c>
      <c r="B58" t="s">
        <v>6</v>
      </c>
      <c r="C58">
        <v>7.1</v>
      </c>
      <c r="D58" t="s">
        <v>24</v>
      </c>
      <c r="E58" t="s">
        <v>8</v>
      </c>
      <c r="F58" s="9">
        <v>202.05500000000004</v>
      </c>
      <c r="G58" s="9">
        <v>360.84539999999998</v>
      </c>
      <c r="H58" s="9">
        <v>0.32500000000000001</v>
      </c>
      <c r="I58" s="9">
        <v>0.13600000000000001</v>
      </c>
      <c r="J58" s="9">
        <v>0.51300000000000001</v>
      </c>
      <c r="K58" s="9">
        <v>0.128</v>
      </c>
    </row>
    <row r="59" spans="1:11">
      <c r="A59" t="s">
        <v>46</v>
      </c>
      <c r="B59" t="s">
        <v>10</v>
      </c>
      <c r="C59">
        <v>6.9</v>
      </c>
      <c r="D59" t="s">
        <v>7</v>
      </c>
      <c r="E59" t="s">
        <v>8</v>
      </c>
      <c r="F59" s="9">
        <v>99.434499999999986</v>
      </c>
      <c r="G59" s="9">
        <v>606.89250000000004</v>
      </c>
      <c r="H59" s="9">
        <v>1.49</v>
      </c>
      <c r="I59" s="9">
        <v>0.76900000000000002</v>
      </c>
      <c r="J59" s="9">
        <v>0.19500000000000001</v>
      </c>
      <c r="K59" s="9">
        <v>7.9200000000000007E-2</v>
      </c>
    </row>
    <row r="60" spans="1:11">
      <c r="A60" t="s">
        <v>47</v>
      </c>
      <c r="B60" t="s">
        <v>10</v>
      </c>
      <c r="C60">
        <v>6.4</v>
      </c>
      <c r="D60" t="s">
        <v>7</v>
      </c>
      <c r="E60" t="s">
        <v>8</v>
      </c>
      <c r="F60" s="9">
        <v>318.34039999999999</v>
      </c>
      <c r="G60" s="9">
        <v>365.51679999999999</v>
      </c>
      <c r="H60" s="9">
        <v>0.78700000000000003</v>
      </c>
      <c r="I60" s="9">
        <v>0.20399999999999999</v>
      </c>
      <c r="J60" s="9">
        <v>0.85899999999999999</v>
      </c>
      <c r="K60" s="9">
        <v>6.9699999999999998E-2</v>
      </c>
    </row>
    <row r="61" spans="1:11">
      <c r="A61" t="s">
        <v>48</v>
      </c>
      <c r="B61" t="s">
        <v>10</v>
      </c>
      <c r="C61">
        <v>6.4</v>
      </c>
      <c r="D61" t="s">
        <v>7</v>
      </c>
      <c r="E61" t="s">
        <v>8</v>
      </c>
      <c r="F61" s="9">
        <v>390.21300000000002</v>
      </c>
      <c r="G61" s="9">
        <v>327.59720000000004</v>
      </c>
      <c r="H61" s="9">
        <v>0.85099999999999998</v>
      </c>
      <c r="I61" s="9">
        <v>0.56499999999999995</v>
      </c>
      <c r="J61" s="9">
        <v>0.96799999999999997</v>
      </c>
      <c r="K61" s="9">
        <v>0.46300000000000002</v>
      </c>
    </row>
    <row r="62" spans="1:11">
      <c r="A62" t="s">
        <v>49</v>
      </c>
      <c r="B62" t="s">
        <v>6</v>
      </c>
      <c r="C62">
        <v>7.3</v>
      </c>
      <c r="D62" t="s">
        <v>7</v>
      </c>
      <c r="E62" t="s">
        <v>8</v>
      </c>
      <c r="F62" s="9">
        <v>259.0421</v>
      </c>
      <c r="G62" s="9">
        <v>578.59500000000003</v>
      </c>
      <c r="H62" s="11">
        <v>0.505</v>
      </c>
      <c r="I62" s="11">
        <v>0.26400000000000001</v>
      </c>
      <c r="J62" s="11">
        <v>0.40100000000000002</v>
      </c>
      <c r="K62" s="11">
        <v>0.25900000000000001</v>
      </c>
    </row>
    <row r="63" spans="1:11">
      <c r="A63" t="s">
        <v>50</v>
      </c>
      <c r="B63" t="s">
        <v>6</v>
      </c>
      <c r="C63">
        <v>7.3</v>
      </c>
      <c r="D63" t="s">
        <v>7</v>
      </c>
      <c r="E63" t="s">
        <v>8</v>
      </c>
      <c r="F63" s="9">
        <v>238.37579999999997</v>
      </c>
      <c r="G63" s="9">
        <v>397.40219999999999</v>
      </c>
      <c r="H63" s="11">
        <v>0.22500000000000001</v>
      </c>
      <c r="I63" s="11">
        <v>0.10299999999999999</v>
      </c>
      <c r="J63" s="11">
        <v>0.24</v>
      </c>
      <c r="K63" s="11">
        <v>0.17</v>
      </c>
    </row>
    <row r="64" spans="1:11">
      <c r="A64" t="s">
        <v>51</v>
      </c>
      <c r="B64" t="s">
        <v>10</v>
      </c>
      <c r="C64">
        <v>7.3</v>
      </c>
      <c r="D64" t="s">
        <v>7</v>
      </c>
      <c r="E64" t="s">
        <v>8</v>
      </c>
      <c r="F64" s="9">
        <v>400.64850000000007</v>
      </c>
      <c r="G64" s="9">
        <v>605.11040000000003</v>
      </c>
      <c r="H64" s="11">
        <v>0.253</v>
      </c>
      <c r="I64" s="11">
        <v>0.14299999999999999</v>
      </c>
      <c r="J64" s="11">
        <v>0.20599999999999999</v>
      </c>
      <c r="K64" s="11">
        <v>0.123</v>
      </c>
    </row>
    <row r="65" spans="1:11">
      <c r="A65" t="s">
        <v>52</v>
      </c>
      <c r="B65" t="s">
        <v>10</v>
      </c>
      <c r="C65">
        <v>7.3</v>
      </c>
      <c r="D65" t="s">
        <v>7</v>
      </c>
      <c r="E65" t="s">
        <v>8</v>
      </c>
      <c r="F65" s="9">
        <v>140.864</v>
      </c>
      <c r="G65" s="9">
        <v>341.26949999999999</v>
      </c>
      <c r="H65" s="11">
        <v>4.6500000000000004</v>
      </c>
      <c r="I65" s="11">
        <v>9.4700000000000006</v>
      </c>
      <c r="J65" s="11">
        <v>1.92</v>
      </c>
      <c r="K65" s="11">
        <v>3.51</v>
      </c>
    </row>
    <row r="66" spans="1:11">
      <c r="A66" t="s">
        <v>53</v>
      </c>
      <c r="B66" t="s">
        <v>10</v>
      </c>
      <c r="C66">
        <v>7.4</v>
      </c>
      <c r="D66" t="s">
        <v>24</v>
      </c>
      <c r="E66" t="s">
        <v>8</v>
      </c>
      <c r="F66" s="9">
        <v>304.09469999999999</v>
      </c>
      <c r="G66" s="9">
        <v>205.49870000000001</v>
      </c>
      <c r="H66" s="11">
        <v>0.505</v>
      </c>
      <c r="I66" s="11">
        <v>8.5500000000000007E-2</v>
      </c>
      <c r="J66" s="11">
        <v>1.49</v>
      </c>
      <c r="K66" s="11">
        <v>0.35899999999999999</v>
      </c>
    </row>
    <row r="67" spans="1:11">
      <c r="A67" t="s">
        <v>54</v>
      </c>
      <c r="B67" t="s">
        <v>10</v>
      </c>
      <c r="C67">
        <v>7.4</v>
      </c>
      <c r="D67" t="s">
        <v>24</v>
      </c>
      <c r="E67" t="s">
        <v>8</v>
      </c>
      <c r="F67" s="9">
        <v>351.86899999999997</v>
      </c>
      <c r="G67" s="9">
        <v>278.08549999999997</v>
      </c>
      <c r="H67" s="11">
        <v>0.51500000000000001</v>
      </c>
      <c r="I67" s="11">
        <v>0.17399999999999999</v>
      </c>
      <c r="J67" s="11">
        <v>1.04</v>
      </c>
      <c r="K67" s="11">
        <v>0.374</v>
      </c>
    </row>
    <row r="68" spans="1:11">
      <c r="A68" t="s">
        <v>55</v>
      </c>
      <c r="B68" t="s">
        <v>10</v>
      </c>
      <c r="C68">
        <v>7.3</v>
      </c>
      <c r="D68" t="s">
        <v>7</v>
      </c>
      <c r="E68" t="s">
        <v>8</v>
      </c>
      <c r="F68" s="9">
        <v>301.7912</v>
      </c>
      <c r="G68" s="9">
        <v>241.05330000000001</v>
      </c>
      <c r="H68" s="11">
        <v>2.79</v>
      </c>
      <c r="I68" s="11">
        <v>0.89500000000000002</v>
      </c>
      <c r="J68" s="11">
        <v>4.6900000000000004</v>
      </c>
      <c r="K68" s="11">
        <v>3.17</v>
      </c>
    </row>
    <row r="69" spans="1:11">
      <c r="A69" t="s">
        <v>56</v>
      </c>
      <c r="B69" t="s">
        <v>10</v>
      </c>
      <c r="C69">
        <v>7.3</v>
      </c>
      <c r="D69" t="s">
        <v>7</v>
      </c>
      <c r="E69" t="s">
        <v>8</v>
      </c>
      <c r="F69" s="9">
        <v>298.17840000000001</v>
      </c>
      <c r="G69" s="9">
        <v>327.9074</v>
      </c>
      <c r="H69" s="11">
        <v>1.95</v>
      </c>
      <c r="I69" s="11">
        <v>1.93</v>
      </c>
      <c r="J69" s="11">
        <v>0.59399999999999997</v>
      </c>
      <c r="K69" s="11">
        <v>0.27</v>
      </c>
    </row>
    <row r="70" spans="1:11">
      <c r="A70" t="s">
        <v>62</v>
      </c>
      <c r="B70" t="s">
        <v>6</v>
      </c>
      <c r="C70">
        <v>9.1</v>
      </c>
      <c r="D70" t="s">
        <v>24</v>
      </c>
      <c r="E70" t="s">
        <v>8</v>
      </c>
      <c r="F70" s="9">
        <v>471.91559999999998</v>
      </c>
      <c r="G70" s="9">
        <v>372.5625</v>
      </c>
      <c r="H70" s="9">
        <v>1.1200000000000001</v>
      </c>
      <c r="I70" s="9">
        <v>1.74</v>
      </c>
      <c r="J70" s="9">
        <v>0.27100000000000002</v>
      </c>
      <c r="K70" s="9">
        <v>1.37</v>
      </c>
    </row>
    <row r="71" spans="1:11">
      <c r="A71" t="s">
        <v>63</v>
      </c>
      <c r="B71" t="s">
        <v>6</v>
      </c>
      <c r="C71">
        <v>9.1</v>
      </c>
      <c r="D71" t="s">
        <v>24</v>
      </c>
      <c r="E71" t="s">
        <v>8</v>
      </c>
      <c r="F71" s="9">
        <v>366.52199999999999</v>
      </c>
      <c r="G71" s="9">
        <v>393.01120000000003</v>
      </c>
      <c r="H71" s="9">
        <v>1.0900000000000001</v>
      </c>
      <c r="I71" s="9">
        <v>2.23</v>
      </c>
      <c r="J71" s="9">
        <v>0.501</v>
      </c>
      <c r="K71" s="9">
        <v>0.89300000000000002</v>
      </c>
    </row>
    <row r="72" spans="1:11">
      <c r="A72" t="s">
        <v>64</v>
      </c>
      <c r="B72" t="s">
        <v>6</v>
      </c>
      <c r="C72">
        <v>9.1</v>
      </c>
      <c r="D72" t="s">
        <v>24</v>
      </c>
      <c r="E72" t="s">
        <v>8</v>
      </c>
      <c r="F72" s="9">
        <v>577.08960000000002</v>
      </c>
      <c r="G72" s="9">
        <v>489.24</v>
      </c>
      <c r="H72" s="9">
        <v>0.69</v>
      </c>
      <c r="I72" s="9">
        <v>1.07</v>
      </c>
      <c r="J72" s="9">
        <v>0.35699999999999998</v>
      </c>
      <c r="K72" s="9">
        <v>0.30599999999999999</v>
      </c>
    </row>
    <row r="73" spans="1:11">
      <c r="A73" t="s">
        <v>65</v>
      </c>
      <c r="B73" t="s">
        <v>10</v>
      </c>
      <c r="C73">
        <v>9.1</v>
      </c>
      <c r="D73" t="s">
        <v>24</v>
      </c>
      <c r="E73" t="s">
        <v>8</v>
      </c>
      <c r="F73" s="9">
        <v>445.25700000000001</v>
      </c>
      <c r="G73" s="9">
        <v>420.42439999999993</v>
      </c>
      <c r="H73" s="9">
        <v>0.91100000000000003</v>
      </c>
      <c r="I73" s="9">
        <v>1.03</v>
      </c>
      <c r="J73" s="9">
        <v>1.41</v>
      </c>
      <c r="K73" s="9">
        <v>2.13</v>
      </c>
    </row>
    <row r="74" spans="1:11">
      <c r="A74" t="s">
        <v>66</v>
      </c>
      <c r="B74" t="s">
        <v>10</v>
      </c>
      <c r="C74">
        <v>9</v>
      </c>
      <c r="D74" t="s">
        <v>24</v>
      </c>
      <c r="E74" t="s">
        <v>8</v>
      </c>
      <c r="F74" s="9">
        <v>469.76600000000002</v>
      </c>
      <c r="G74" s="9">
        <v>582.2109999999999</v>
      </c>
      <c r="H74" s="9">
        <v>1.46</v>
      </c>
      <c r="I74" s="9">
        <v>0.92200000000000004</v>
      </c>
      <c r="J74" s="9">
        <v>0.61899999999999999</v>
      </c>
      <c r="K74" s="9">
        <v>1.25</v>
      </c>
    </row>
    <row r="75" spans="1:11">
      <c r="A75" t="s">
        <v>67</v>
      </c>
      <c r="B75" t="s">
        <v>10</v>
      </c>
      <c r="C75">
        <v>9</v>
      </c>
      <c r="D75" t="s">
        <v>24</v>
      </c>
      <c r="E75" t="s">
        <v>8</v>
      </c>
      <c r="F75" s="9">
        <v>396.52079999999995</v>
      </c>
      <c r="G75" s="9">
        <v>505.19040000000007</v>
      </c>
      <c r="H75" s="9">
        <v>1.65</v>
      </c>
      <c r="I75" s="9">
        <v>0.34799999999999998</v>
      </c>
      <c r="J75" s="9">
        <v>0.505</v>
      </c>
      <c r="K75" s="9">
        <v>0.33200000000000002</v>
      </c>
    </row>
    <row r="76" spans="1:11">
      <c r="A76" t="s">
        <v>68</v>
      </c>
      <c r="B76" t="s">
        <v>6</v>
      </c>
      <c r="C76">
        <v>9.1</v>
      </c>
      <c r="D76" t="s">
        <v>24</v>
      </c>
      <c r="E76" t="s">
        <v>8</v>
      </c>
      <c r="F76" s="9">
        <v>378.17600000000004</v>
      </c>
      <c r="G76" s="9">
        <v>455.66340000000002</v>
      </c>
      <c r="H76" s="9">
        <v>0.13400000000000001</v>
      </c>
      <c r="I76" s="9">
        <v>0.17100000000000001</v>
      </c>
      <c r="J76" s="9">
        <v>0.188</v>
      </c>
      <c r="K76" s="9">
        <v>9.8799999999999999E-2</v>
      </c>
    </row>
    <row r="77" spans="1:11">
      <c r="A77" t="s">
        <v>69</v>
      </c>
      <c r="B77" t="s">
        <v>6</v>
      </c>
      <c r="C77">
        <v>9.1</v>
      </c>
      <c r="D77" t="s">
        <v>24</v>
      </c>
      <c r="E77" t="s">
        <v>8</v>
      </c>
      <c r="F77" s="9">
        <v>377.524</v>
      </c>
      <c r="G77" s="9">
        <v>350.71</v>
      </c>
      <c r="H77" s="9">
        <v>3.8399999999999997E-2</v>
      </c>
      <c r="I77" s="9">
        <v>3.2899999999999999E-2</v>
      </c>
      <c r="J77" s="9">
        <v>0.34300000000000003</v>
      </c>
      <c r="K77" s="9">
        <v>0.223</v>
      </c>
    </row>
    <row r="78" spans="1:11">
      <c r="A78" t="s">
        <v>70</v>
      </c>
      <c r="B78" t="s">
        <v>10</v>
      </c>
      <c r="C78">
        <v>9</v>
      </c>
      <c r="D78" t="s">
        <v>24</v>
      </c>
      <c r="E78" t="s">
        <v>8</v>
      </c>
      <c r="F78" s="9">
        <v>402.91019999999997</v>
      </c>
      <c r="G78" s="9">
        <v>145.44109999999998</v>
      </c>
      <c r="H78" s="9">
        <v>0.21199999999999999</v>
      </c>
      <c r="I78" s="9">
        <v>7.6899999999999996E-2</v>
      </c>
      <c r="J78" s="9">
        <v>2.39</v>
      </c>
      <c r="K78" s="9">
        <v>2.54</v>
      </c>
    </row>
    <row r="79" spans="1:11">
      <c r="A79" t="s">
        <v>71</v>
      </c>
      <c r="B79" t="s">
        <v>10</v>
      </c>
      <c r="C79">
        <v>9</v>
      </c>
      <c r="D79" t="s">
        <v>24</v>
      </c>
      <c r="E79" t="s">
        <v>8</v>
      </c>
      <c r="F79" s="9">
        <v>124.94240000000001</v>
      </c>
      <c r="G79" s="9">
        <v>368.96459999999996</v>
      </c>
      <c r="H79" s="9">
        <v>3.72</v>
      </c>
      <c r="I79" s="9">
        <v>2.0499999999999998</v>
      </c>
      <c r="J79" s="9">
        <v>0.93899999999999995</v>
      </c>
      <c r="K79" s="9">
        <v>0.59199999999999997</v>
      </c>
    </row>
    <row r="80" spans="1:11">
      <c r="A80" t="s">
        <v>72</v>
      </c>
      <c r="B80" t="s">
        <v>6</v>
      </c>
      <c r="C80">
        <v>9</v>
      </c>
      <c r="D80" t="s">
        <v>24</v>
      </c>
      <c r="E80" t="s">
        <v>8</v>
      </c>
      <c r="F80" s="9">
        <v>537.87139999999999</v>
      </c>
      <c r="G80" s="9">
        <v>397.09600000000006</v>
      </c>
      <c r="H80" s="9">
        <v>0.40600000000000003</v>
      </c>
      <c r="I80" s="9">
        <v>0.314</v>
      </c>
      <c r="J80" s="9">
        <v>0.17499999999999999</v>
      </c>
      <c r="K80" s="9">
        <v>0.17499999999999999</v>
      </c>
    </row>
    <row r="81" spans="1:11">
      <c r="A81" t="s">
        <v>73</v>
      </c>
      <c r="B81" t="s">
        <v>6</v>
      </c>
      <c r="C81">
        <v>9</v>
      </c>
      <c r="D81" t="s">
        <v>24</v>
      </c>
      <c r="E81" t="s">
        <v>8</v>
      </c>
      <c r="F81" s="9">
        <v>425.22480000000002</v>
      </c>
      <c r="G81" s="9">
        <v>307.99340000000001</v>
      </c>
      <c r="H81" s="9">
        <v>1.02</v>
      </c>
      <c r="I81" s="9">
        <v>0.61599999999999999</v>
      </c>
      <c r="J81" s="9">
        <v>1.91</v>
      </c>
      <c r="K81" s="9">
        <v>1.52</v>
      </c>
    </row>
    <row r="82" spans="1:11">
      <c r="A82" t="s">
        <v>74</v>
      </c>
      <c r="B82" t="s">
        <v>10</v>
      </c>
      <c r="C82">
        <v>8.6999999999999993</v>
      </c>
      <c r="D82" t="s">
        <v>7</v>
      </c>
      <c r="E82" t="s">
        <v>8</v>
      </c>
      <c r="F82" s="9">
        <v>488.47999999999996</v>
      </c>
      <c r="G82" s="9">
        <v>232.60500000000002</v>
      </c>
      <c r="H82" s="9">
        <v>0.33700000000000002</v>
      </c>
      <c r="I82" s="9">
        <v>0.54700000000000004</v>
      </c>
      <c r="J82" s="9">
        <v>2.4500000000000002</v>
      </c>
      <c r="K82" s="9">
        <v>3.01</v>
      </c>
    </row>
    <row r="83" spans="1:11">
      <c r="A83" t="s">
        <v>75</v>
      </c>
      <c r="B83" t="s">
        <v>10</v>
      </c>
      <c r="C83">
        <v>8.6999999999999993</v>
      </c>
      <c r="D83" t="s">
        <v>7</v>
      </c>
      <c r="E83" t="s">
        <v>8</v>
      </c>
      <c r="F83" s="9">
        <v>481.49279999999993</v>
      </c>
      <c r="G83" s="9">
        <v>458.91870000000006</v>
      </c>
      <c r="H83" s="9">
        <v>0.44800000000000001</v>
      </c>
      <c r="I83" s="9">
        <v>0.19400000000000001</v>
      </c>
      <c r="J83" s="9">
        <v>0.38800000000000001</v>
      </c>
      <c r="K83" s="9">
        <v>0.24099999999999999</v>
      </c>
    </row>
    <row r="84" spans="1:11">
      <c r="A84" t="s">
        <v>76</v>
      </c>
      <c r="B84" t="s">
        <v>6</v>
      </c>
      <c r="C84">
        <v>8.6</v>
      </c>
      <c r="D84" t="s">
        <v>7</v>
      </c>
      <c r="E84" t="s">
        <v>8</v>
      </c>
      <c r="F84" s="9">
        <v>312.35599999999999</v>
      </c>
      <c r="G84" s="9">
        <v>183.7122</v>
      </c>
      <c r="H84" s="9">
        <v>0.74399999999999999</v>
      </c>
      <c r="I84" s="9">
        <v>0.34699999999999998</v>
      </c>
      <c r="J84" s="9">
        <v>2.2200000000000002</v>
      </c>
      <c r="K84" s="9">
        <v>1.76</v>
      </c>
    </row>
    <row r="85" spans="1:11">
      <c r="A85" t="s">
        <v>77</v>
      </c>
      <c r="B85" t="s">
        <v>6</v>
      </c>
      <c r="C85">
        <v>8.6</v>
      </c>
      <c r="D85" t="s">
        <v>7</v>
      </c>
      <c r="E85" t="s">
        <v>8</v>
      </c>
      <c r="F85" s="9">
        <v>456.25110000000001</v>
      </c>
      <c r="G85" s="9">
        <v>357.87999999999994</v>
      </c>
      <c r="H85" s="9">
        <v>1.01</v>
      </c>
      <c r="I85" s="9">
        <v>0.499</v>
      </c>
      <c r="J85" s="9">
        <v>0.503</v>
      </c>
      <c r="K85" s="9">
        <v>0.49199999999999999</v>
      </c>
    </row>
    <row r="86" spans="1:11">
      <c r="A86" t="s">
        <v>78</v>
      </c>
      <c r="B86" t="s">
        <v>10</v>
      </c>
      <c r="C86">
        <v>8.6</v>
      </c>
      <c r="D86" t="s">
        <v>7</v>
      </c>
      <c r="E86" t="s">
        <v>8</v>
      </c>
      <c r="F86" s="9">
        <v>406.1352</v>
      </c>
      <c r="G86" s="9">
        <v>466.76249999999999</v>
      </c>
      <c r="H86" s="9">
        <v>0.68700000000000006</v>
      </c>
      <c r="I86" s="9">
        <v>0.30199999999999999</v>
      </c>
      <c r="J86" s="9">
        <v>0.38900000000000001</v>
      </c>
      <c r="K86" s="9">
        <v>0.432</v>
      </c>
    </row>
    <row r="87" spans="1:11">
      <c r="A87" t="s">
        <v>79</v>
      </c>
      <c r="B87" t="s">
        <v>10</v>
      </c>
      <c r="C87">
        <v>8.6</v>
      </c>
      <c r="D87" t="s">
        <v>7</v>
      </c>
      <c r="E87" t="s">
        <v>8</v>
      </c>
      <c r="F87" s="9">
        <v>124.4502</v>
      </c>
      <c r="G87" s="9">
        <v>438.87149999999997</v>
      </c>
      <c r="H87" s="9">
        <v>2.46</v>
      </c>
      <c r="I87" s="9">
        <v>1.46</v>
      </c>
      <c r="J87" s="9">
        <v>1.1000000000000001</v>
      </c>
      <c r="K87" s="9">
        <v>0.12</v>
      </c>
    </row>
    <row r="88" spans="1:11">
      <c r="A88" t="s">
        <v>206</v>
      </c>
      <c r="B88" t="s">
        <v>10</v>
      </c>
      <c r="C88">
        <v>9.1</v>
      </c>
      <c r="D88" t="s">
        <v>24</v>
      </c>
      <c r="E88" t="s">
        <v>81</v>
      </c>
      <c r="F88" s="9">
        <f>17.66*13.95</f>
        <v>246.357</v>
      </c>
      <c r="G88" s="9">
        <f>29.33*17.32</f>
        <v>507.99559999999997</v>
      </c>
      <c r="H88">
        <v>2.54</v>
      </c>
      <c r="I88">
        <v>0.49399999999999999</v>
      </c>
      <c r="J88">
        <v>0.313</v>
      </c>
      <c r="K88">
        <v>3.5299999999999998E-2</v>
      </c>
    </row>
    <row r="89" spans="1:11">
      <c r="A89" t="s">
        <v>207</v>
      </c>
      <c r="B89" t="s">
        <v>10</v>
      </c>
      <c r="C89">
        <v>9.1</v>
      </c>
      <c r="D89" t="s">
        <v>24</v>
      </c>
      <c r="E89" t="s">
        <v>81</v>
      </c>
      <c r="F89" s="9">
        <f>19.71*14.38</f>
        <v>283.4298</v>
      </c>
      <c r="G89" s="9">
        <f>29.77*19.51</f>
        <v>580.81270000000006</v>
      </c>
      <c r="H89">
        <v>3.76</v>
      </c>
      <c r="I89">
        <v>1.31</v>
      </c>
      <c r="J89">
        <v>0.63100000000000001</v>
      </c>
      <c r="K89">
        <v>0.23499999999999999</v>
      </c>
    </row>
    <row r="90" spans="1:11">
      <c r="A90" t="s">
        <v>208</v>
      </c>
      <c r="B90" t="s">
        <v>6</v>
      </c>
      <c r="C90">
        <v>9.1</v>
      </c>
      <c r="D90" t="s">
        <v>24</v>
      </c>
      <c r="E90" t="s">
        <v>81</v>
      </c>
      <c r="F90" s="9">
        <f>7.79*12.61</f>
        <v>98.231899999999996</v>
      </c>
      <c r="G90" s="9">
        <f>19.37*12.5</f>
        <v>242.125</v>
      </c>
      <c r="H90">
        <v>3.34</v>
      </c>
      <c r="I90">
        <v>0.48799999999999999</v>
      </c>
      <c r="J90">
        <v>2.15</v>
      </c>
      <c r="K90">
        <v>0.42799999999999999</v>
      </c>
    </row>
    <row r="91" spans="1:11">
      <c r="A91" t="s">
        <v>209</v>
      </c>
      <c r="B91" t="s">
        <v>6</v>
      </c>
      <c r="C91">
        <v>7.3</v>
      </c>
      <c r="D91" t="s">
        <v>7</v>
      </c>
      <c r="E91" t="s">
        <v>81</v>
      </c>
      <c r="F91" s="9">
        <f>18.01*19.74</f>
        <v>355.51740000000001</v>
      </c>
      <c r="G91" s="9">
        <f>17.91*14.64</f>
        <v>262.20240000000001</v>
      </c>
    </row>
    <row r="92" spans="1:11">
      <c r="A92" t="s">
        <v>210</v>
      </c>
      <c r="B92" t="s">
        <v>6</v>
      </c>
      <c r="C92">
        <v>7.3</v>
      </c>
      <c r="D92" t="s">
        <v>7</v>
      </c>
      <c r="E92" t="s">
        <v>81</v>
      </c>
      <c r="F92" s="9">
        <f>13.3*17.21</f>
        <v>228.89300000000003</v>
      </c>
      <c r="G92" s="9">
        <f>19.4*9.79</f>
        <v>189.92599999999996</v>
      </c>
      <c r="H92">
        <v>1.18</v>
      </c>
      <c r="I92">
        <v>0.40500000000000003</v>
      </c>
      <c r="J92">
        <v>1.1000000000000001</v>
      </c>
      <c r="K92">
        <v>0.435</v>
      </c>
    </row>
    <row r="93" spans="1:11" s="13" customFormat="1">
      <c r="A93" s="13" t="s">
        <v>211</v>
      </c>
      <c r="B93" s="13" t="s">
        <v>6</v>
      </c>
      <c r="C93" s="13">
        <v>7.3</v>
      </c>
      <c r="D93" s="13" t="s">
        <v>7</v>
      </c>
      <c r="E93" s="13" t="s">
        <v>81</v>
      </c>
      <c r="F93" s="11">
        <f>10.85*11.46</f>
        <v>124.34100000000001</v>
      </c>
      <c r="G93" s="11">
        <f>11.2*11.43</f>
        <v>128.01599999999999</v>
      </c>
      <c r="H93" s="11"/>
      <c r="I93" s="11"/>
      <c r="J93" s="11"/>
      <c r="K93" s="11"/>
    </row>
    <row r="94" spans="1:11" s="13" customFormat="1">
      <c r="A94" s="13" t="s">
        <v>80</v>
      </c>
      <c r="B94" s="13" t="s">
        <v>6</v>
      </c>
      <c r="C94" s="13">
        <v>7.4</v>
      </c>
      <c r="D94" s="13" t="s">
        <v>24</v>
      </c>
      <c r="E94" s="13" t="s">
        <v>81</v>
      </c>
      <c r="F94" s="11">
        <f>14.28*16.22</f>
        <v>231.62159999999997</v>
      </c>
      <c r="G94" s="11">
        <f>16.18*15.7</f>
        <v>254.02599999999998</v>
      </c>
      <c r="H94" s="11">
        <v>0.27700000000000002</v>
      </c>
      <c r="I94" s="11">
        <v>0.32100000000000001</v>
      </c>
      <c r="J94" s="11">
        <v>2.23</v>
      </c>
      <c r="K94" s="11">
        <v>0.85799999999999998</v>
      </c>
    </row>
    <row r="95" spans="1:11" s="13" customFormat="1">
      <c r="A95" s="13" t="s">
        <v>82</v>
      </c>
      <c r="B95" s="13" t="s">
        <v>6</v>
      </c>
      <c r="C95" s="13">
        <v>7.4</v>
      </c>
      <c r="D95" s="13" t="s">
        <v>24</v>
      </c>
      <c r="E95" s="13" t="s">
        <v>81</v>
      </c>
      <c r="F95" s="11">
        <f>16.1*19.32</f>
        <v>311.05200000000002</v>
      </c>
      <c r="G95" s="11">
        <f>16.5*20.04</f>
        <v>330.65999999999997</v>
      </c>
      <c r="H95" s="11">
        <v>2.74</v>
      </c>
      <c r="I95" s="11">
        <v>3.22</v>
      </c>
      <c r="J95" s="11">
        <v>1.55</v>
      </c>
      <c r="K95" s="11">
        <v>1.84</v>
      </c>
    </row>
    <row r="96" spans="1:11" s="13" customFormat="1">
      <c r="A96" s="13" t="s">
        <v>83</v>
      </c>
      <c r="B96" s="13" t="s">
        <v>10</v>
      </c>
      <c r="C96" s="13">
        <v>7.4</v>
      </c>
      <c r="D96" s="13" t="s">
        <v>24</v>
      </c>
      <c r="E96" s="13" t="s">
        <v>81</v>
      </c>
      <c r="F96" s="11">
        <v>350.22680000000003</v>
      </c>
      <c r="G96" s="11">
        <v>549.58500000000004</v>
      </c>
      <c r="H96" s="11">
        <v>1.92</v>
      </c>
      <c r="I96" s="11">
        <v>1.24</v>
      </c>
      <c r="J96" s="11">
        <v>1.17</v>
      </c>
      <c r="K96" s="11">
        <v>0.77900000000000003</v>
      </c>
    </row>
    <row r="97" spans="1:11" s="13" customFormat="1">
      <c r="A97" s="13" t="s">
        <v>84</v>
      </c>
      <c r="B97" s="13" t="s">
        <v>10</v>
      </c>
      <c r="C97" s="13">
        <v>7.4</v>
      </c>
      <c r="D97" s="13" t="s">
        <v>24</v>
      </c>
      <c r="E97" s="13" t="s">
        <v>81</v>
      </c>
      <c r="F97" s="11">
        <v>450.01740000000001</v>
      </c>
      <c r="G97" s="11">
        <v>331.95840000000004</v>
      </c>
      <c r="H97" s="11">
        <v>1.43</v>
      </c>
      <c r="I97" s="11">
        <v>0.54900000000000004</v>
      </c>
      <c r="J97" s="11">
        <v>1.42</v>
      </c>
      <c r="K97" s="11">
        <v>1.3</v>
      </c>
    </row>
    <row r="98" spans="1:11" s="13" customFormat="1">
      <c r="A98" s="13" t="s">
        <v>85</v>
      </c>
      <c r="B98" s="13" t="s">
        <v>6</v>
      </c>
      <c r="C98" s="13">
        <v>7.7</v>
      </c>
      <c r="D98" s="13" t="s">
        <v>7</v>
      </c>
      <c r="E98" s="13" t="s">
        <v>81</v>
      </c>
      <c r="F98" s="11">
        <v>334.24309999999997</v>
      </c>
      <c r="G98" s="11">
        <v>308.1728</v>
      </c>
      <c r="H98" s="11">
        <v>2.31</v>
      </c>
      <c r="I98" s="11">
        <v>1.75</v>
      </c>
      <c r="J98" s="11">
        <v>2.5099999999999998</v>
      </c>
      <c r="K98" s="11">
        <v>0.77800000000000002</v>
      </c>
    </row>
    <row r="99" spans="1:11" s="13" customFormat="1">
      <c r="A99" s="13" t="s">
        <v>86</v>
      </c>
      <c r="B99" s="13" t="s">
        <v>6</v>
      </c>
      <c r="C99" s="13">
        <v>7.7</v>
      </c>
      <c r="D99" s="13" t="s">
        <v>7</v>
      </c>
      <c r="E99" s="13" t="s">
        <v>81</v>
      </c>
      <c r="F99" s="11">
        <f>14.29*23.39</f>
        <v>334.24309999999997</v>
      </c>
      <c r="G99" s="11">
        <f>16.64*18.52</f>
        <v>308.1728</v>
      </c>
      <c r="H99" s="11">
        <v>2.4700000000000002</v>
      </c>
      <c r="I99" s="11">
        <v>0.18099999999999999</v>
      </c>
      <c r="J99" s="11">
        <v>1.3</v>
      </c>
      <c r="K99" s="11">
        <v>0.44800000000000001</v>
      </c>
    </row>
    <row r="100" spans="1:11" s="13" customFormat="1">
      <c r="A100" s="13" t="s">
        <v>87</v>
      </c>
      <c r="B100" s="13" t="s">
        <v>6</v>
      </c>
      <c r="C100" s="13">
        <v>7.7</v>
      </c>
      <c r="D100" s="13" t="s">
        <v>7</v>
      </c>
      <c r="E100" s="13" t="s">
        <v>81</v>
      </c>
      <c r="F100" s="11">
        <f>19.72*16.01</f>
        <v>315.71719999999999</v>
      </c>
      <c r="G100" s="11">
        <f>19.08*23.55</f>
        <v>449.33399999999995</v>
      </c>
      <c r="H100" s="11">
        <v>1.7</v>
      </c>
      <c r="I100" s="11">
        <v>0.48199999999999998</v>
      </c>
      <c r="J100" s="11">
        <v>2.34</v>
      </c>
      <c r="K100" s="11">
        <v>0.50800000000000001</v>
      </c>
    </row>
    <row r="101" spans="1:11" s="13" customFormat="1">
      <c r="A101" s="13" t="s">
        <v>88</v>
      </c>
      <c r="B101" s="13" t="s">
        <v>10</v>
      </c>
      <c r="C101" s="13">
        <v>7.7</v>
      </c>
      <c r="D101" s="13" t="s">
        <v>7</v>
      </c>
      <c r="E101" s="13" t="s">
        <v>81</v>
      </c>
      <c r="F101" s="11"/>
      <c r="G101" s="11"/>
      <c r="H101" s="11">
        <v>4.53</v>
      </c>
      <c r="I101" s="11">
        <v>2.7</v>
      </c>
      <c r="J101" s="11">
        <v>2.5099999999999998</v>
      </c>
      <c r="K101" s="11">
        <v>2.4</v>
      </c>
    </row>
    <row r="102" spans="1:11" s="13" customFormat="1">
      <c r="A102" s="13" t="s">
        <v>89</v>
      </c>
      <c r="B102" s="13" t="s">
        <v>10</v>
      </c>
      <c r="C102" s="13">
        <v>7.7</v>
      </c>
      <c r="D102" s="13" t="s">
        <v>7</v>
      </c>
      <c r="E102" s="13" t="s">
        <v>81</v>
      </c>
      <c r="F102" s="11"/>
      <c r="G102" s="11"/>
      <c r="H102" s="11">
        <v>2.6</v>
      </c>
      <c r="I102" s="11">
        <v>0.9</v>
      </c>
      <c r="J102" s="11">
        <v>0.48699999999999999</v>
      </c>
      <c r="K102" s="11">
        <v>0.7</v>
      </c>
    </row>
    <row r="103" spans="1:11" s="13" customFormat="1">
      <c r="A103" s="13" t="s">
        <v>90</v>
      </c>
      <c r="B103" s="13" t="s">
        <v>10</v>
      </c>
      <c r="C103" s="13">
        <v>7.7</v>
      </c>
      <c r="D103" s="13" t="s">
        <v>7</v>
      </c>
      <c r="E103" s="13" t="s">
        <v>81</v>
      </c>
      <c r="F103" s="11"/>
      <c r="G103" s="11"/>
      <c r="H103" s="11">
        <v>2.4700000000000002</v>
      </c>
      <c r="I103" s="11">
        <v>0.6</v>
      </c>
      <c r="J103" s="11">
        <v>0.35499999999999998</v>
      </c>
      <c r="K103" s="11">
        <v>0.3</v>
      </c>
    </row>
    <row r="104" spans="1:11" s="13" customFormat="1">
      <c r="A104" s="13" t="s">
        <v>91</v>
      </c>
      <c r="B104" s="13" t="s">
        <v>6</v>
      </c>
      <c r="C104" s="13">
        <v>5.7</v>
      </c>
      <c r="D104" s="13" t="s">
        <v>7</v>
      </c>
      <c r="E104" s="13" t="s">
        <v>81</v>
      </c>
      <c r="F104" s="11">
        <v>279.98750000000001</v>
      </c>
      <c r="G104" s="11">
        <v>151.95050000000001</v>
      </c>
      <c r="H104" s="11">
        <v>3.38</v>
      </c>
      <c r="I104" s="11">
        <v>0.6</v>
      </c>
      <c r="J104" s="11">
        <v>6.67</v>
      </c>
      <c r="K104" s="11">
        <v>6.2</v>
      </c>
    </row>
    <row r="105" spans="1:11" s="13" customFormat="1">
      <c r="A105" s="13" t="s">
        <v>92</v>
      </c>
      <c r="B105" s="13" t="s">
        <v>6</v>
      </c>
      <c r="C105" s="13">
        <v>5.7</v>
      </c>
      <c r="D105" s="13" t="s">
        <v>7</v>
      </c>
      <c r="E105" s="13" t="s">
        <v>81</v>
      </c>
      <c r="F105" s="11">
        <v>350.55100000000004</v>
      </c>
      <c r="G105" s="11">
        <v>205.90560000000002</v>
      </c>
      <c r="H105" s="11">
        <v>1.2</v>
      </c>
      <c r="I105" s="11">
        <v>0.503</v>
      </c>
      <c r="J105" s="11">
        <v>0.8</v>
      </c>
      <c r="K105" s="11">
        <v>0.315</v>
      </c>
    </row>
    <row r="106" spans="1:11">
      <c r="A106" t="s">
        <v>93</v>
      </c>
      <c r="B106" t="s">
        <v>6</v>
      </c>
      <c r="C106">
        <v>5.7</v>
      </c>
      <c r="D106" t="s">
        <v>7</v>
      </c>
      <c r="E106" t="s">
        <v>81</v>
      </c>
      <c r="F106" s="9">
        <v>307.51679999999999</v>
      </c>
      <c r="G106" s="9">
        <v>265.74739999999997</v>
      </c>
      <c r="H106" s="10">
        <v>0.2</v>
      </c>
      <c r="I106" s="9">
        <v>0.36899999999999999</v>
      </c>
      <c r="J106" s="10">
        <v>0.6</v>
      </c>
      <c r="K106" s="9">
        <v>0.27300000000000002</v>
      </c>
    </row>
    <row r="107" spans="1:11">
      <c r="A107" t="s">
        <v>94</v>
      </c>
      <c r="B107" t="s">
        <v>10</v>
      </c>
      <c r="C107">
        <v>10.7</v>
      </c>
      <c r="D107" t="s">
        <v>7</v>
      </c>
      <c r="E107" t="s">
        <v>95</v>
      </c>
      <c r="F107" s="9">
        <f>16.95*23.26</f>
        <v>394.25700000000001</v>
      </c>
      <c r="G107" s="9">
        <f>24.01*16.91</f>
        <v>406.00910000000005</v>
      </c>
      <c r="H107" s="9">
        <v>7.59</v>
      </c>
      <c r="I107" s="9">
        <v>1.1499999999999999</v>
      </c>
      <c r="J107" s="9">
        <v>9.83</v>
      </c>
      <c r="K107" s="9">
        <v>1.21</v>
      </c>
    </row>
    <row r="108" spans="1:11">
      <c r="A108" t="s">
        <v>96</v>
      </c>
      <c r="B108" t="s">
        <v>6</v>
      </c>
      <c r="C108">
        <v>10.7</v>
      </c>
      <c r="D108" t="s">
        <v>7</v>
      </c>
      <c r="E108" t="s">
        <v>95</v>
      </c>
      <c r="F108" s="9">
        <f>18.23*15.95</f>
        <v>290.76850000000002</v>
      </c>
      <c r="G108" s="9">
        <f>19.26*16.8</f>
        <v>323.56800000000004</v>
      </c>
      <c r="H108" s="9">
        <v>12.4</v>
      </c>
      <c r="I108" s="9">
        <v>1.93</v>
      </c>
      <c r="J108" s="9">
        <v>8.93</v>
      </c>
      <c r="K108" s="9">
        <v>0.44500000000000001</v>
      </c>
    </row>
    <row r="109" spans="1:11">
      <c r="A109" t="s">
        <v>97</v>
      </c>
      <c r="B109" t="s">
        <v>6</v>
      </c>
      <c r="C109">
        <v>9.6999999999999993</v>
      </c>
      <c r="D109" t="s">
        <v>7</v>
      </c>
      <c r="E109" t="s">
        <v>95</v>
      </c>
      <c r="F109" s="9">
        <f>16.77*16.93</f>
        <v>283.91609999999997</v>
      </c>
      <c r="G109" s="9">
        <f>14.09*18.68</f>
        <v>263.20119999999997</v>
      </c>
      <c r="H109" s="9">
        <v>25.3</v>
      </c>
      <c r="I109" s="9">
        <v>2.54</v>
      </c>
      <c r="J109" s="9">
        <v>16.2</v>
      </c>
      <c r="K109" s="9">
        <v>3.2</v>
      </c>
    </row>
    <row r="110" spans="1:11">
      <c r="A110" t="s">
        <v>98</v>
      </c>
      <c r="B110" t="s">
        <v>6</v>
      </c>
      <c r="C110">
        <v>9.6999999999999993</v>
      </c>
      <c r="D110" t="s">
        <v>7</v>
      </c>
      <c r="E110" t="s">
        <v>95</v>
      </c>
      <c r="F110" s="9">
        <f>16.47*18.63</f>
        <v>306.83609999999999</v>
      </c>
      <c r="G110" s="9">
        <f>16.62*20.56</f>
        <v>341.7072</v>
      </c>
      <c r="H110" s="9">
        <v>10.8</v>
      </c>
      <c r="I110" s="9">
        <v>0.69899999999999995</v>
      </c>
      <c r="J110" s="9">
        <v>6.16</v>
      </c>
      <c r="K110" s="9">
        <v>1</v>
      </c>
    </row>
    <row r="111" spans="1:11">
      <c r="A111" t="s">
        <v>99</v>
      </c>
      <c r="B111" t="s">
        <v>10</v>
      </c>
      <c r="C111">
        <v>8.4</v>
      </c>
      <c r="D111" t="s">
        <v>24</v>
      </c>
      <c r="E111" t="s">
        <v>95</v>
      </c>
      <c r="F111" s="9">
        <f>17.75*23.14</f>
        <v>410.73500000000001</v>
      </c>
      <c r="G111" s="9">
        <f>16.06*23.38</f>
        <v>375.48279999999994</v>
      </c>
      <c r="H111" s="9">
        <v>10.5</v>
      </c>
      <c r="I111" s="9">
        <v>0.28199999999999997</v>
      </c>
      <c r="J111" s="9">
        <v>12.7</v>
      </c>
      <c r="K111" s="9">
        <v>5.9499999999999997E-2</v>
      </c>
    </row>
    <row r="112" spans="1:11">
      <c r="A112" t="s">
        <v>100</v>
      </c>
      <c r="B112" t="s">
        <v>6</v>
      </c>
      <c r="C112">
        <v>8.4</v>
      </c>
      <c r="D112" t="s">
        <v>24</v>
      </c>
      <c r="E112" t="s">
        <v>95</v>
      </c>
      <c r="F112" s="9">
        <f>15.94*23.14</f>
        <v>368.85160000000002</v>
      </c>
      <c r="G112" s="9">
        <f>22.62*17.52</f>
        <v>396.30240000000003</v>
      </c>
      <c r="H112" s="9">
        <v>13</v>
      </c>
      <c r="I112" s="9">
        <v>0.255</v>
      </c>
      <c r="J112" s="9">
        <v>9.74</v>
      </c>
      <c r="K112" s="9">
        <v>0.36599999999999999</v>
      </c>
    </row>
    <row r="113" spans="1:11">
      <c r="A113" t="s">
        <v>101</v>
      </c>
      <c r="B113" t="s">
        <v>10</v>
      </c>
      <c r="C113">
        <v>10.1</v>
      </c>
      <c r="D113" t="s">
        <v>7</v>
      </c>
      <c r="E113" t="s">
        <v>95</v>
      </c>
      <c r="F113" s="9">
        <f>17.9*25.18</f>
        <v>450.72199999999998</v>
      </c>
      <c r="G113" s="9">
        <f>18.76*17.65</f>
        <v>331.11399999999998</v>
      </c>
      <c r="H113" s="9">
        <v>12.9</v>
      </c>
      <c r="I113" s="9">
        <v>4.55</v>
      </c>
      <c r="J113" s="9">
        <v>15.7</v>
      </c>
      <c r="K113" s="9">
        <v>1.1100000000000001</v>
      </c>
    </row>
    <row r="114" spans="1:11">
      <c r="A114" t="s">
        <v>102</v>
      </c>
      <c r="B114" t="s">
        <v>6</v>
      </c>
      <c r="C114">
        <v>10.1</v>
      </c>
      <c r="D114" t="s">
        <v>7</v>
      </c>
      <c r="E114" t="s">
        <v>95</v>
      </c>
      <c r="F114" s="9">
        <f>16.28*25.16</f>
        <v>409.60480000000001</v>
      </c>
      <c r="G114" s="9">
        <f>17*18.06</f>
        <v>307.02</v>
      </c>
      <c r="H114" s="9">
        <v>18.100000000000001</v>
      </c>
      <c r="I114" s="9">
        <v>1.48</v>
      </c>
      <c r="J114" s="9">
        <v>17.600000000000001</v>
      </c>
      <c r="K114" s="9">
        <v>0.41899999999999998</v>
      </c>
    </row>
    <row r="115" spans="1:11">
      <c r="A115" t="s">
        <v>103</v>
      </c>
      <c r="B115" t="s">
        <v>6</v>
      </c>
      <c r="C115">
        <v>10.1</v>
      </c>
      <c r="D115" t="s">
        <v>7</v>
      </c>
      <c r="E115" t="s">
        <v>95</v>
      </c>
      <c r="F115" s="9">
        <f>15.12*19.21</f>
        <v>290.45519999999999</v>
      </c>
      <c r="G115" s="9">
        <f>17.44*19.1</f>
        <v>333.10400000000004</v>
      </c>
      <c r="H115" s="9">
        <v>29.3</v>
      </c>
      <c r="I115" s="9">
        <v>1.6</v>
      </c>
      <c r="J115" s="9">
        <v>24.9</v>
      </c>
      <c r="K115" s="9">
        <v>1.27</v>
      </c>
    </row>
    <row r="116" spans="1:11">
      <c r="A116" t="s">
        <v>104</v>
      </c>
      <c r="B116" t="s">
        <v>6</v>
      </c>
      <c r="C116">
        <v>10.1</v>
      </c>
      <c r="D116" t="s">
        <v>7</v>
      </c>
      <c r="E116" t="s">
        <v>95</v>
      </c>
      <c r="F116" s="9">
        <f>13.84*20.11</f>
        <v>278.32240000000002</v>
      </c>
      <c r="G116" s="9">
        <f>18.25*18.68</f>
        <v>340.90999999999997</v>
      </c>
      <c r="H116" s="9">
        <v>11.8</v>
      </c>
      <c r="I116" s="9">
        <v>0.504</v>
      </c>
      <c r="J116" s="9">
        <v>15.6</v>
      </c>
      <c r="K116" s="9">
        <v>0.432</v>
      </c>
    </row>
    <row r="117" spans="1:11">
      <c r="A117" t="s">
        <v>105</v>
      </c>
      <c r="B117" t="s">
        <v>6</v>
      </c>
      <c r="C117">
        <v>10.1</v>
      </c>
      <c r="D117" t="s">
        <v>7</v>
      </c>
      <c r="E117" t="s">
        <v>95</v>
      </c>
      <c r="F117" s="9">
        <f>15.65*19.21</f>
        <v>300.63650000000001</v>
      </c>
      <c r="G117" s="9">
        <f>17.27*19.23</f>
        <v>332.10210000000001</v>
      </c>
      <c r="H117" s="9">
        <v>19.100000000000001</v>
      </c>
      <c r="I117" s="9">
        <v>2.3199999999999998</v>
      </c>
      <c r="J117" s="9">
        <v>14.1</v>
      </c>
      <c r="K117" s="9">
        <v>2.21</v>
      </c>
    </row>
    <row r="118" spans="1:11">
      <c r="A118" t="s">
        <v>106</v>
      </c>
      <c r="B118" t="s">
        <v>10</v>
      </c>
      <c r="C118">
        <v>9.6999999999999993</v>
      </c>
      <c r="D118" t="s">
        <v>7</v>
      </c>
      <c r="E118" t="s">
        <v>95</v>
      </c>
      <c r="F118" s="9">
        <f>16.23*23.6</f>
        <v>383.02800000000002</v>
      </c>
      <c r="G118" s="9">
        <f>14.07*24.03</f>
        <v>338.10210000000001</v>
      </c>
      <c r="H118" s="9">
        <v>12.2</v>
      </c>
      <c r="I118" s="9">
        <v>2.92</v>
      </c>
      <c r="J118" s="9">
        <v>12.4</v>
      </c>
      <c r="K118" s="9">
        <v>1.69</v>
      </c>
    </row>
    <row r="119" spans="1:11">
      <c r="A119" t="s">
        <v>107</v>
      </c>
      <c r="B119" t="s">
        <v>6</v>
      </c>
      <c r="C119">
        <v>8.9</v>
      </c>
      <c r="D119" t="s">
        <v>24</v>
      </c>
      <c r="E119" t="s">
        <v>95</v>
      </c>
      <c r="F119" s="9">
        <f>18.11*20.75</f>
        <v>375.78249999999997</v>
      </c>
      <c r="G119" s="9">
        <f>17.77*18.85</f>
        <v>334.96450000000004</v>
      </c>
      <c r="H119" s="9">
        <v>22.5</v>
      </c>
      <c r="I119" s="9">
        <v>1.18</v>
      </c>
      <c r="J119" s="9">
        <v>24.6</v>
      </c>
      <c r="K119" s="9">
        <v>0.55100000000000005</v>
      </c>
    </row>
    <row r="120" spans="1:11">
      <c r="A120" t="s">
        <v>108</v>
      </c>
      <c r="B120" t="s">
        <v>6</v>
      </c>
      <c r="C120">
        <v>8.9</v>
      </c>
      <c r="D120" t="s">
        <v>24</v>
      </c>
      <c r="E120" t="s">
        <v>95</v>
      </c>
      <c r="F120" s="9">
        <f>17.33*20.96</f>
        <v>363.23679999999996</v>
      </c>
      <c r="G120" s="9">
        <f>16.6*20.51</f>
        <v>340.46600000000007</v>
      </c>
      <c r="H120" s="9">
        <v>26</v>
      </c>
      <c r="I120" s="9">
        <v>0.126</v>
      </c>
      <c r="J120" s="9">
        <v>21.2</v>
      </c>
      <c r="K120" s="9">
        <v>0.193</v>
      </c>
    </row>
    <row r="121" spans="1:11">
      <c r="A121" t="s">
        <v>109</v>
      </c>
      <c r="B121" t="s">
        <v>6</v>
      </c>
      <c r="C121">
        <v>8.9</v>
      </c>
      <c r="D121" t="s">
        <v>24</v>
      </c>
      <c r="E121" t="s">
        <v>95</v>
      </c>
      <c r="F121" s="9">
        <f>18.53*21.05</f>
        <v>390.05650000000003</v>
      </c>
      <c r="G121" s="9">
        <f>18.81*21.31</f>
        <v>400.84109999999993</v>
      </c>
      <c r="H121" s="9">
        <v>26.5</v>
      </c>
      <c r="I121" s="9">
        <v>0.23</v>
      </c>
      <c r="J121" s="9">
        <v>20.7</v>
      </c>
      <c r="K121" s="9">
        <v>0.27</v>
      </c>
    </row>
    <row r="122" spans="1:11">
      <c r="A122" t="s">
        <v>110</v>
      </c>
      <c r="B122" t="s">
        <v>6</v>
      </c>
      <c r="C122">
        <v>9.3000000000000007</v>
      </c>
      <c r="D122" t="s">
        <v>7</v>
      </c>
      <c r="E122" t="s">
        <v>95</v>
      </c>
      <c r="F122" s="9">
        <f>14.35*17.34</f>
        <v>248.82899999999998</v>
      </c>
      <c r="G122" s="9">
        <f>16.48*19.59</f>
        <v>322.84320000000002</v>
      </c>
      <c r="H122" s="9">
        <v>6.41</v>
      </c>
      <c r="I122" s="9">
        <v>1.05</v>
      </c>
      <c r="J122" s="9">
        <v>17.600000000000001</v>
      </c>
      <c r="K122" s="10">
        <v>0.45</v>
      </c>
    </row>
    <row r="123" spans="1:11">
      <c r="A123" t="s">
        <v>111</v>
      </c>
      <c r="B123" t="s">
        <v>10</v>
      </c>
      <c r="C123">
        <v>9.3000000000000007</v>
      </c>
      <c r="D123" t="s">
        <v>7</v>
      </c>
      <c r="E123" t="s">
        <v>95</v>
      </c>
      <c r="F123" s="9">
        <f>19.56*27.13</f>
        <v>530.66279999999995</v>
      </c>
      <c r="G123" s="9">
        <f>19.7*23.72</f>
        <v>467.28399999999993</v>
      </c>
      <c r="H123" s="9">
        <v>7.62</v>
      </c>
      <c r="I123" s="9">
        <v>0.63500000000000001</v>
      </c>
      <c r="J123" s="9">
        <v>5.88</v>
      </c>
      <c r="K123" s="9">
        <v>0.17599999999999999</v>
      </c>
    </row>
    <row r="124" spans="1:11">
      <c r="A124" t="s">
        <v>112</v>
      </c>
      <c r="B124" t="s">
        <v>6</v>
      </c>
      <c r="C124">
        <v>8</v>
      </c>
      <c r="D124" t="s">
        <v>24</v>
      </c>
      <c r="E124" t="s">
        <v>95</v>
      </c>
      <c r="F124" s="9">
        <f>17.53*22.58</f>
        <v>395.82740000000001</v>
      </c>
      <c r="G124" s="9">
        <f>17.69*21.89</f>
        <v>387.23410000000001</v>
      </c>
      <c r="H124" s="9">
        <v>9.9600000000000009</v>
      </c>
      <c r="I124" s="9">
        <v>0.26900000000000002</v>
      </c>
      <c r="J124" s="9">
        <v>18.2</v>
      </c>
      <c r="K124" s="9">
        <v>0.72199999999999998</v>
      </c>
    </row>
    <row r="125" spans="1:11">
      <c r="A125" t="s">
        <v>113</v>
      </c>
      <c r="B125" t="s">
        <v>6</v>
      </c>
      <c r="C125">
        <v>8</v>
      </c>
      <c r="D125" t="s">
        <v>24</v>
      </c>
      <c r="E125" t="s">
        <v>95</v>
      </c>
      <c r="F125" s="9">
        <f>18.05*24.52</f>
        <v>442.58600000000001</v>
      </c>
      <c r="G125" s="9">
        <f>16.71*19.54</f>
        <v>326.51339999999999</v>
      </c>
      <c r="H125" s="9">
        <v>9.09</v>
      </c>
      <c r="I125" s="9">
        <v>0.28000000000000003</v>
      </c>
      <c r="J125" s="9">
        <v>4.82</v>
      </c>
      <c r="K125" s="9">
        <v>5.8999999999999997E-2</v>
      </c>
    </row>
    <row r="126" spans="1:11">
      <c r="A126" t="s">
        <v>114</v>
      </c>
      <c r="B126" t="s">
        <v>6</v>
      </c>
      <c r="C126">
        <v>8</v>
      </c>
      <c r="D126" t="s">
        <v>24</v>
      </c>
      <c r="E126" t="s">
        <v>95</v>
      </c>
      <c r="F126" s="9">
        <f>17.29*24.04</f>
        <v>415.65159999999997</v>
      </c>
      <c r="G126" s="9">
        <f>16.27*20</f>
        <v>325.39999999999998</v>
      </c>
      <c r="H126" s="9">
        <v>23.9</v>
      </c>
      <c r="I126" s="9">
        <v>0.82</v>
      </c>
      <c r="J126" s="9">
        <v>20</v>
      </c>
      <c r="K126" s="9">
        <v>0.80500000000000005</v>
      </c>
    </row>
    <row r="127" spans="1:11">
      <c r="A127" t="s">
        <v>115</v>
      </c>
      <c r="B127" t="s">
        <v>10</v>
      </c>
      <c r="C127">
        <v>7</v>
      </c>
      <c r="D127" t="s">
        <v>24</v>
      </c>
      <c r="E127" t="s">
        <v>95</v>
      </c>
      <c r="F127" s="9">
        <f>18.61*22.81</f>
        <v>424.49409999999995</v>
      </c>
      <c r="G127" s="9">
        <f>20.74*19.86</f>
        <v>411.89639999999997</v>
      </c>
      <c r="H127" s="10">
        <v>12</v>
      </c>
      <c r="I127" s="9">
        <v>0.98599999999999999</v>
      </c>
      <c r="J127" s="10">
        <v>17.8</v>
      </c>
      <c r="K127" s="9">
        <v>0.64100000000000001</v>
      </c>
    </row>
    <row r="128" spans="1:11">
      <c r="A128" t="s">
        <v>116</v>
      </c>
      <c r="B128" t="s">
        <v>6</v>
      </c>
      <c r="C128">
        <v>7</v>
      </c>
      <c r="D128" t="s">
        <v>24</v>
      </c>
      <c r="E128" t="s">
        <v>95</v>
      </c>
      <c r="F128" s="9">
        <f>18.4*20.46</f>
        <v>376.464</v>
      </c>
      <c r="G128" s="9">
        <f>18.81*21.41</f>
        <v>402.72209999999995</v>
      </c>
      <c r="H128" s="9">
        <v>12</v>
      </c>
      <c r="I128" s="9">
        <v>2.4300000000000002</v>
      </c>
      <c r="J128" s="9">
        <v>24.2</v>
      </c>
      <c r="K128" s="9">
        <v>0.503</v>
      </c>
    </row>
    <row r="129" spans="1:7">
      <c r="A129" t="s">
        <v>152</v>
      </c>
      <c r="B129" t="s">
        <v>10</v>
      </c>
      <c r="C129">
        <v>11.1</v>
      </c>
      <c r="D129" t="s">
        <v>7</v>
      </c>
      <c r="E129" t="s">
        <v>95</v>
      </c>
      <c r="F129" s="9">
        <f>16.51*21.98</f>
        <v>362.88980000000004</v>
      </c>
      <c r="G129" s="9">
        <f>13.27*21.5</f>
        <v>285.30500000000001</v>
      </c>
    </row>
    <row r="130" spans="1:7">
      <c r="A130" t="s">
        <v>153</v>
      </c>
      <c r="B130" t="s">
        <v>10</v>
      </c>
      <c r="C130">
        <v>9.1</v>
      </c>
      <c r="D130" t="s">
        <v>24</v>
      </c>
      <c r="E130" t="s">
        <v>95</v>
      </c>
      <c r="F130" s="9">
        <f>29.19*16.09</f>
        <v>469.6671</v>
      </c>
      <c r="G130" s="9">
        <f>17.08*28.02</f>
        <v>478.58159999999992</v>
      </c>
    </row>
    <row r="131" spans="1:7">
      <c r="A131" t="s">
        <v>154</v>
      </c>
      <c r="B131" t="s">
        <v>6</v>
      </c>
      <c r="C131">
        <v>9.1</v>
      </c>
      <c r="D131" t="s">
        <v>24</v>
      </c>
      <c r="E131" t="s">
        <v>95</v>
      </c>
      <c r="F131" s="9">
        <f>18.71*19.23</f>
        <v>359.79330000000004</v>
      </c>
      <c r="G131" s="9">
        <f>21.54*18.35</f>
        <v>395.25900000000001</v>
      </c>
    </row>
    <row r="132" spans="1:7">
      <c r="A132" t="s">
        <v>155</v>
      </c>
      <c r="B132" t="s">
        <v>10</v>
      </c>
      <c r="C132">
        <v>8</v>
      </c>
      <c r="D132" t="s">
        <v>7</v>
      </c>
      <c r="E132" t="s">
        <v>95</v>
      </c>
      <c r="F132" s="9">
        <f>21.58*26.69</f>
        <v>575.97019999999998</v>
      </c>
      <c r="G132" s="9">
        <f>22.81*17.68</f>
        <v>403.2808</v>
      </c>
    </row>
    <row r="133" spans="1:7">
      <c r="A133" t="s">
        <v>156</v>
      </c>
      <c r="B133" t="s">
        <v>6</v>
      </c>
      <c r="C133">
        <v>8</v>
      </c>
      <c r="D133" t="s">
        <v>7</v>
      </c>
      <c r="E133" t="s">
        <v>95</v>
      </c>
      <c r="F133" s="9">
        <f>16.08*22.71</f>
        <v>365.17679999999996</v>
      </c>
      <c r="G133" s="9">
        <f>18.44*19.15</f>
        <v>353.12599999999998</v>
      </c>
    </row>
    <row r="134" spans="1:7">
      <c r="A134" t="s">
        <v>157</v>
      </c>
      <c r="B134" t="s">
        <v>10</v>
      </c>
      <c r="C134">
        <v>8</v>
      </c>
      <c r="D134" t="s">
        <v>7</v>
      </c>
      <c r="E134" t="s">
        <v>95</v>
      </c>
      <c r="F134" s="9">
        <f>12.62*17.07</f>
        <v>215.42339999999999</v>
      </c>
      <c r="G134" s="9">
        <f>14.9*18.78</f>
        <v>279.822</v>
      </c>
    </row>
    <row r="135" spans="1:7">
      <c r="A135" t="s">
        <v>158</v>
      </c>
      <c r="B135" t="s">
        <v>6</v>
      </c>
      <c r="C135">
        <v>8</v>
      </c>
      <c r="D135" t="s">
        <v>7</v>
      </c>
      <c r="E135" t="s">
        <v>95</v>
      </c>
      <c r="F135" s="9">
        <f>20.78*30.13</f>
        <v>626.10140000000001</v>
      </c>
      <c r="G135" s="9">
        <f>21.01*21.57</f>
        <v>453.18570000000005</v>
      </c>
    </row>
    <row r="136" spans="1:7">
      <c r="A136" t="s">
        <v>159</v>
      </c>
      <c r="B136" t="s">
        <v>6</v>
      </c>
      <c r="C136">
        <v>8</v>
      </c>
      <c r="D136" t="s">
        <v>7</v>
      </c>
      <c r="E136" t="s">
        <v>95</v>
      </c>
      <c r="F136" s="9">
        <f>15.32*17.55</f>
        <v>268.86600000000004</v>
      </c>
      <c r="G136" s="9">
        <f>16.43*23.09</f>
        <v>379.36869999999999</v>
      </c>
    </row>
    <row r="137" spans="1:7">
      <c r="A137" t="s">
        <v>160</v>
      </c>
      <c r="B137" t="s">
        <v>10</v>
      </c>
      <c r="C137">
        <v>6.3</v>
      </c>
      <c r="D137" t="s">
        <v>7</v>
      </c>
      <c r="E137" t="s">
        <v>95</v>
      </c>
      <c r="F137" s="9">
        <f>22.17*14.27</f>
        <v>316.36590000000001</v>
      </c>
      <c r="G137" s="9">
        <f>22.66*14.63</f>
        <v>331.51580000000001</v>
      </c>
    </row>
    <row r="138" spans="1:7">
      <c r="A138" t="s">
        <v>161</v>
      </c>
      <c r="B138" t="s">
        <v>10</v>
      </c>
      <c r="C138">
        <v>6.3</v>
      </c>
      <c r="D138" t="s">
        <v>7</v>
      </c>
      <c r="E138" t="s">
        <v>95</v>
      </c>
      <c r="F138" s="9">
        <f>18.2*11.8</f>
        <v>214.76</v>
      </c>
      <c r="G138" s="9">
        <f>20.3*16.6</f>
        <v>336.98</v>
      </c>
    </row>
    <row r="139" spans="1:7">
      <c r="A139" t="s">
        <v>162</v>
      </c>
      <c r="B139" t="s">
        <v>6</v>
      </c>
      <c r="C139">
        <v>6.3</v>
      </c>
      <c r="D139" t="s">
        <v>7</v>
      </c>
      <c r="E139" t="s">
        <v>95</v>
      </c>
      <c r="F139" s="9">
        <f>22.59*14.76</f>
        <v>333.42840000000001</v>
      </c>
      <c r="G139" s="9">
        <f>13.08*16.66</f>
        <v>217.9128</v>
      </c>
    </row>
    <row r="140" spans="1:7">
      <c r="A140" t="s">
        <v>163</v>
      </c>
      <c r="B140" t="s">
        <v>10</v>
      </c>
      <c r="C140">
        <v>5.3</v>
      </c>
      <c r="D140" t="s">
        <v>24</v>
      </c>
      <c r="E140" t="s">
        <v>95</v>
      </c>
      <c r="F140" s="9">
        <f>11.78*14.75</f>
        <v>173.755</v>
      </c>
      <c r="G140" s="9">
        <f>13.82*13.44</f>
        <v>185.74080000000001</v>
      </c>
    </row>
    <row r="141" spans="1:7">
      <c r="A141" t="s">
        <v>164</v>
      </c>
      <c r="B141" t="s">
        <v>10</v>
      </c>
      <c r="C141">
        <v>5.3</v>
      </c>
      <c r="D141" t="s">
        <v>24</v>
      </c>
      <c r="E141" t="s">
        <v>95</v>
      </c>
      <c r="F141" s="9">
        <f>25.62*15.16</f>
        <v>388.39920000000001</v>
      </c>
      <c r="G141" s="9">
        <f>19.64*12.99</f>
        <v>255.12360000000001</v>
      </c>
    </row>
    <row r="142" spans="1:7">
      <c r="A142" t="s">
        <v>165</v>
      </c>
      <c r="B142" t="s">
        <v>10</v>
      </c>
      <c r="C142">
        <v>5.3</v>
      </c>
      <c r="D142" t="s">
        <v>24</v>
      </c>
      <c r="E142" t="s">
        <v>95</v>
      </c>
      <c r="F142" s="9">
        <f>12.11*10.63</f>
        <v>128.72929999999999</v>
      </c>
      <c r="G142" s="9">
        <f>16.81*12.97</f>
        <v>218.0257</v>
      </c>
    </row>
    <row r="143" spans="1:7">
      <c r="A143" t="s">
        <v>166</v>
      </c>
      <c r="B143" t="s">
        <v>10</v>
      </c>
      <c r="C143">
        <v>5.3</v>
      </c>
      <c r="D143" t="s">
        <v>24</v>
      </c>
      <c r="E143" t="s">
        <v>95</v>
      </c>
      <c r="F143" s="9">
        <f>23.55*16.05</f>
        <v>377.97750000000002</v>
      </c>
      <c r="G143" s="9">
        <f>14.55*17.3</f>
        <v>251.71500000000003</v>
      </c>
    </row>
    <row r="144" spans="1:7">
      <c r="A144" t="s">
        <v>167</v>
      </c>
      <c r="B144" t="s">
        <v>10</v>
      </c>
      <c r="C144">
        <v>5.3</v>
      </c>
      <c r="D144" t="s">
        <v>24</v>
      </c>
      <c r="E144" t="s">
        <v>95</v>
      </c>
      <c r="F144" s="9">
        <f>12.62*16.43</f>
        <v>207.3466</v>
      </c>
      <c r="G144" s="9">
        <v>0</v>
      </c>
    </row>
    <row r="145" spans="1:11">
      <c r="A145" t="s">
        <v>168</v>
      </c>
      <c r="B145" t="s">
        <v>6</v>
      </c>
      <c r="C145">
        <v>5.3</v>
      </c>
      <c r="D145" t="s">
        <v>24</v>
      </c>
      <c r="E145" t="s">
        <v>95</v>
      </c>
      <c r="F145" s="9">
        <f>9.45*14.71</f>
        <v>139.0095</v>
      </c>
      <c r="G145" s="9">
        <f>12.75*14.57</f>
        <v>185.76750000000001</v>
      </c>
    </row>
    <row r="146" spans="1:11">
      <c r="A146" t="s">
        <v>169</v>
      </c>
      <c r="B146" t="s">
        <v>6</v>
      </c>
      <c r="C146">
        <v>12</v>
      </c>
      <c r="D146" t="s">
        <v>24</v>
      </c>
      <c r="E146" t="s">
        <v>95</v>
      </c>
      <c r="F146" s="9">
        <f>15.43*17.09</f>
        <v>263.69869999999997</v>
      </c>
      <c r="G146" s="9">
        <f>25.36*19.07</f>
        <v>483.61520000000002</v>
      </c>
      <c r="H146" s="9">
        <v>12.2</v>
      </c>
      <c r="I146" s="9">
        <v>1.74</v>
      </c>
      <c r="J146" s="9">
        <v>28</v>
      </c>
      <c r="K146" s="9">
        <v>0.218</v>
      </c>
    </row>
    <row r="147" spans="1:11">
      <c r="A147" t="s">
        <v>170</v>
      </c>
      <c r="B147" t="s">
        <v>10</v>
      </c>
      <c r="C147">
        <v>11.4</v>
      </c>
      <c r="D147" t="s">
        <v>24</v>
      </c>
      <c r="E147" t="s">
        <v>95</v>
      </c>
      <c r="F147" s="9">
        <f>20.47*13.89</f>
        <v>284.32830000000001</v>
      </c>
      <c r="G147" s="9">
        <f>18.66*20.51</f>
        <v>382.71660000000003</v>
      </c>
      <c r="H147" s="9">
        <v>9.14</v>
      </c>
      <c r="I147" s="9">
        <v>1.67</v>
      </c>
      <c r="J147" s="9">
        <v>10.7</v>
      </c>
      <c r="K147" s="9">
        <v>1.38</v>
      </c>
    </row>
    <row r="148" spans="1:11">
      <c r="A148" t="s">
        <v>171</v>
      </c>
      <c r="B148" t="s">
        <v>10</v>
      </c>
      <c r="C148">
        <v>11.4</v>
      </c>
      <c r="D148" t="s">
        <v>24</v>
      </c>
      <c r="E148" t="s">
        <v>95</v>
      </c>
      <c r="F148" s="9">
        <f>14.66*14.26</f>
        <v>209.05160000000001</v>
      </c>
      <c r="G148" s="9">
        <f>18.99*14.22</f>
        <v>270.0378</v>
      </c>
      <c r="H148" s="9">
        <v>24.4</v>
      </c>
      <c r="I148" s="9">
        <v>0.48299999999999998</v>
      </c>
      <c r="J148" s="9">
        <v>9.4</v>
      </c>
      <c r="K148" s="9">
        <v>0.435</v>
      </c>
    </row>
    <row r="149" spans="1:11">
      <c r="A149" t="s">
        <v>172</v>
      </c>
      <c r="B149" t="s">
        <v>6</v>
      </c>
      <c r="C149">
        <v>11.4</v>
      </c>
      <c r="D149" t="s">
        <v>24</v>
      </c>
      <c r="E149" t="s">
        <v>95</v>
      </c>
      <c r="F149" s="9">
        <f>22.64*17.85</f>
        <v>404.12400000000002</v>
      </c>
      <c r="G149" s="9">
        <f>17.48*19.58</f>
        <v>342.25839999999999</v>
      </c>
      <c r="H149" s="9">
        <v>13.6</v>
      </c>
      <c r="I149" s="9">
        <v>2.79</v>
      </c>
      <c r="J149" s="9">
        <v>11.5</v>
      </c>
      <c r="K149" s="9">
        <v>0.75900000000000001</v>
      </c>
    </row>
    <row r="150" spans="1:11">
      <c r="A150" t="s">
        <v>173</v>
      </c>
      <c r="B150" t="s">
        <v>10</v>
      </c>
      <c r="C150">
        <v>11.4</v>
      </c>
      <c r="D150" t="s">
        <v>7</v>
      </c>
      <c r="E150" t="s">
        <v>95</v>
      </c>
      <c r="F150" s="9">
        <f>14.45*18.57</f>
        <v>268.3365</v>
      </c>
      <c r="G150" s="9">
        <f>12.65*15.89</f>
        <v>201.00850000000003</v>
      </c>
      <c r="H150" s="10">
        <v>11.4</v>
      </c>
      <c r="I150" s="9">
        <v>1.17</v>
      </c>
      <c r="J150" s="10">
        <v>4.93</v>
      </c>
      <c r="K150" s="9">
        <v>1.1399999999999999</v>
      </c>
    </row>
    <row r="151" spans="1:11">
      <c r="A151" t="s">
        <v>174</v>
      </c>
      <c r="B151" t="s">
        <v>10</v>
      </c>
      <c r="C151">
        <v>9.6</v>
      </c>
      <c r="D151" t="s">
        <v>24</v>
      </c>
      <c r="E151" t="s">
        <v>95</v>
      </c>
      <c r="F151" s="9">
        <f>23.55*14.5</f>
        <v>341.47500000000002</v>
      </c>
      <c r="G151" s="9">
        <f>21.39*12.7</f>
        <v>271.65300000000002</v>
      </c>
      <c r="H151" s="9">
        <v>21.2</v>
      </c>
      <c r="I151" s="9">
        <v>0.41299999999999998</v>
      </c>
      <c r="J151" s="9">
        <v>14</v>
      </c>
      <c r="K151" s="9">
        <v>0.71899999999999997</v>
      </c>
    </row>
    <row r="152" spans="1:11">
      <c r="A152" t="s">
        <v>175</v>
      </c>
      <c r="B152" t="s">
        <v>6</v>
      </c>
      <c r="C152">
        <v>9.6</v>
      </c>
      <c r="D152" t="s">
        <v>24</v>
      </c>
      <c r="E152" t="s">
        <v>95</v>
      </c>
      <c r="F152" s="9">
        <f>16.33*21.19</f>
        <v>346.03269999999998</v>
      </c>
      <c r="G152" s="9">
        <f>13.8*22.95</f>
        <v>316.70999999999998</v>
      </c>
      <c r="H152" s="10">
        <v>10.199999999999999</v>
      </c>
      <c r="I152" s="9">
        <v>0.91300000000000003</v>
      </c>
      <c r="J152" s="10">
        <v>14.4</v>
      </c>
      <c r="K152" s="9">
        <v>0.21</v>
      </c>
    </row>
    <row r="153" spans="1:11">
      <c r="A153" t="s">
        <v>176</v>
      </c>
      <c r="B153" t="s">
        <v>6</v>
      </c>
      <c r="C153">
        <v>9.6</v>
      </c>
      <c r="D153" t="s">
        <v>24</v>
      </c>
      <c r="E153" t="s">
        <v>95</v>
      </c>
      <c r="F153" s="9">
        <f>15.98*21.47</f>
        <v>343.09059999999999</v>
      </c>
      <c r="G153" s="9">
        <f>18.51*20.03</f>
        <v>370.75530000000003</v>
      </c>
      <c r="H153" s="10">
        <v>15.8</v>
      </c>
      <c r="I153" s="9">
        <v>1.64</v>
      </c>
      <c r="J153" s="10">
        <v>10.5</v>
      </c>
      <c r="K153" s="9">
        <v>0.32100000000000001</v>
      </c>
    </row>
    <row r="154" spans="1:11">
      <c r="A154" t="s">
        <v>177</v>
      </c>
      <c r="B154" t="s">
        <v>6</v>
      </c>
      <c r="C154">
        <v>9.6</v>
      </c>
      <c r="D154" t="s">
        <v>24</v>
      </c>
      <c r="E154" t="s">
        <v>95</v>
      </c>
      <c r="F154" s="9">
        <f>16.66*19.93</f>
        <v>332.03379999999999</v>
      </c>
      <c r="G154" s="9">
        <f>27.68*15.55</f>
        <v>430.42400000000004</v>
      </c>
      <c r="H154" s="9">
        <v>11.4</v>
      </c>
      <c r="I154" s="9">
        <v>1.37</v>
      </c>
      <c r="J154" s="9">
        <v>20.9</v>
      </c>
      <c r="K154" s="9">
        <v>0.17899999999999999</v>
      </c>
    </row>
    <row r="155" spans="1:11">
      <c r="A155" t="s">
        <v>178</v>
      </c>
      <c r="B155" t="s">
        <v>10</v>
      </c>
      <c r="C155">
        <v>9</v>
      </c>
      <c r="D155" t="s">
        <v>7</v>
      </c>
      <c r="E155" t="s">
        <v>95</v>
      </c>
      <c r="F155" s="9">
        <f>17.76*18.57</f>
        <v>329.80320000000006</v>
      </c>
      <c r="G155" s="9">
        <f>16.67*19.93</f>
        <v>332.23310000000004</v>
      </c>
      <c r="H155" s="9">
        <v>14.2</v>
      </c>
      <c r="I155" s="9">
        <v>6.18</v>
      </c>
      <c r="J155" s="9">
        <v>12.6</v>
      </c>
      <c r="K155" s="9">
        <v>6.14</v>
      </c>
    </row>
    <row r="156" spans="1:11">
      <c r="A156" t="s">
        <v>179</v>
      </c>
      <c r="B156" t="s">
        <v>10</v>
      </c>
      <c r="C156">
        <v>8.6</v>
      </c>
      <c r="D156" t="s">
        <v>7</v>
      </c>
      <c r="E156" t="s">
        <v>95</v>
      </c>
      <c r="F156" s="9">
        <f>18.7*19.94</f>
        <v>372.87799999999999</v>
      </c>
      <c r="G156" s="9">
        <f>20.84*23.79</f>
        <v>495.78359999999998</v>
      </c>
      <c r="H156" s="9">
        <v>12.6</v>
      </c>
      <c r="I156" s="10">
        <v>1.3</v>
      </c>
      <c r="J156" s="9">
        <v>5.35</v>
      </c>
      <c r="K156" s="10">
        <v>0.94799999999999995</v>
      </c>
    </row>
    <row r="157" spans="1:11">
      <c r="A157" t="s">
        <v>180</v>
      </c>
      <c r="B157" t="s">
        <v>10</v>
      </c>
      <c r="C157">
        <v>8.6</v>
      </c>
      <c r="D157" t="s">
        <v>7</v>
      </c>
      <c r="E157" t="s">
        <v>95</v>
      </c>
      <c r="F157" s="9">
        <f>15.81*18.14</f>
        <v>286.79340000000002</v>
      </c>
      <c r="G157" s="9">
        <f>16.37*22.2</f>
        <v>363.41399999999999</v>
      </c>
      <c r="H157" s="9">
        <v>12.9</v>
      </c>
      <c r="I157" s="10">
        <v>0.8</v>
      </c>
      <c r="J157" s="9">
        <v>13.7</v>
      </c>
      <c r="K157" s="10">
        <v>1.38</v>
      </c>
    </row>
    <row r="158" spans="1:11">
      <c r="A158" t="s">
        <v>181</v>
      </c>
      <c r="B158" t="s">
        <v>10</v>
      </c>
      <c r="C158">
        <v>8.6</v>
      </c>
      <c r="D158" t="s">
        <v>7</v>
      </c>
      <c r="E158" t="s">
        <v>95</v>
      </c>
      <c r="F158" s="9">
        <f>21.43*16.2</f>
        <v>347.166</v>
      </c>
      <c r="G158" s="9">
        <f>25.26*14.75</f>
        <v>372.58500000000004</v>
      </c>
      <c r="H158" s="9">
        <v>14.3</v>
      </c>
      <c r="I158" s="9">
        <v>0.61899999999999999</v>
      </c>
      <c r="J158" s="9">
        <v>8.1300000000000008</v>
      </c>
      <c r="K158" s="9">
        <v>2.37</v>
      </c>
    </row>
    <row r="159" spans="1:11">
      <c r="A159" t="s">
        <v>182</v>
      </c>
      <c r="B159" t="s">
        <v>10</v>
      </c>
      <c r="C159">
        <v>8.6</v>
      </c>
      <c r="D159" t="s">
        <v>7</v>
      </c>
      <c r="E159" t="s">
        <v>95</v>
      </c>
      <c r="F159" s="9">
        <f>15.31*16.64</f>
        <v>254.75840000000002</v>
      </c>
      <c r="G159" s="9">
        <f>16.99*13.08</f>
        <v>222.22919999999999</v>
      </c>
      <c r="H159" s="10">
        <v>12.5</v>
      </c>
      <c r="I159" s="9">
        <v>4.8600000000000003</v>
      </c>
      <c r="J159" s="10">
        <v>6.1</v>
      </c>
      <c r="K159" s="9">
        <v>3.01</v>
      </c>
    </row>
    <row r="160" spans="1:11">
      <c r="A160" t="s">
        <v>183</v>
      </c>
      <c r="B160" t="s">
        <v>6</v>
      </c>
      <c r="C160">
        <v>8.6</v>
      </c>
      <c r="D160" t="s">
        <v>7</v>
      </c>
      <c r="E160" t="s">
        <v>95</v>
      </c>
      <c r="F160" s="9">
        <f>14.49*21.67</f>
        <v>313.99830000000003</v>
      </c>
      <c r="G160" s="9">
        <f>26.66*15.93</f>
        <v>424.69380000000001</v>
      </c>
      <c r="H160" s="9">
        <v>9.18</v>
      </c>
      <c r="I160" s="9">
        <v>1.1399999999999999</v>
      </c>
      <c r="J160" s="9">
        <v>7.21</v>
      </c>
      <c r="K160" s="9">
        <v>0.82899999999999996</v>
      </c>
    </row>
    <row r="161" spans="1:11">
      <c r="A161" t="s">
        <v>184</v>
      </c>
      <c r="B161" t="s">
        <v>10</v>
      </c>
      <c r="C161">
        <v>7.6</v>
      </c>
      <c r="D161" t="s">
        <v>24</v>
      </c>
      <c r="E161" t="s">
        <v>95</v>
      </c>
      <c r="F161" s="9">
        <f>22.46*14.58</f>
        <v>327.46680000000003</v>
      </c>
      <c r="G161" s="9">
        <f>16.96*17.65</f>
        <v>299.34399999999999</v>
      </c>
      <c r="H161" s="9">
        <v>10.9</v>
      </c>
      <c r="I161" s="9">
        <v>0.30199999999999999</v>
      </c>
      <c r="J161" s="9">
        <v>10</v>
      </c>
      <c r="K161" s="9">
        <v>0.71499999999999997</v>
      </c>
    </row>
    <row r="162" spans="1:11">
      <c r="A162" t="s">
        <v>185</v>
      </c>
      <c r="B162" t="s">
        <v>10</v>
      </c>
      <c r="C162">
        <v>7.6</v>
      </c>
      <c r="D162" t="s">
        <v>24</v>
      </c>
      <c r="E162" t="s">
        <v>95</v>
      </c>
      <c r="F162" s="9">
        <f>25.72*16.37</f>
        <v>421.03640000000001</v>
      </c>
      <c r="G162" s="9">
        <f>20.13*21.55</f>
        <v>433.80149999999998</v>
      </c>
      <c r="H162" s="9">
        <v>9.94</v>
      </c>
      <c r="I162" s="9">
        <v>1.33</v>
      </c>
      <c r="J162" s="9">
        <v>9.27</v>
      </c>
      <c r="K162" s="9">
        <v>1.61</v>
      </c>
    </row>
    <row r="163" spans="1:11">
      <c r="A163" t="s">
        <v>186</v>
      </c>
      <c r="B163" t="s">
        <v>10</v>
      </c>
      <c r="C163">
        <v>7.6</v>
      </c>
      <c r="D163" t="s">
        <v>24</v>
      </c>
      <c r="E163" t="s">
        <v>95</v>
      </c>
      <c r="F163" s="9">
        <f>16.06*10.78</f>
        <v>173.12679999999997</v>
      </c>
      <c r="G163" s="9">
        <f>16.34*13.33</f>
        <v>217.81219999999999</v>
      </c>
      <c r="H163" s="9">
        <v>9.5500000000000007</v>
      </c>
      <c r="I163" s="9">
        <v>1.61</v>
      </c>
      <c r="J163" s="9">
        <v>8.34</v>
      </c>
      <c r="K163" s="9">
        <v>0.48599999999999999</v>
      </c>
    </row>
    <row r="164" spans="1:11">
      <c r="A164" t="s">
        <v>187</v>
      </c>
      <c r="B164" t="s">
        <v>10</v>
      </c>
      <c r="C164">
        <v>7</v>
      </c>
      <c r="D164" t="s">
        <v>7</v>
      </c>
      <c r="E164" t="s">
        <v>95</v>
      </c>
      <c r="F164" s="9">
        <f>17.58*23.08</f>
        <v>405.74639999999994</v>
      </c>
      <c r="G164" s="9">
        <v>0</v>
      </c>
      <c r="H164" s="9">
        <v>19.8</v>
      </c>
      <c r="I164" s="9">
        <v>1.61</v>
      </c>
      <c r="J164" s="9">
        <v>13.4</v>
      </c>
      <c r="K164" s="9">
        <v>5.37</v>
      </c>
    </row>
    <row r="165" spans="1:11">
      <c r="A165" t="s">
        <v>126</v>
      </c>
      <c r="B165" t="s">
        <v>10</v>
      </c>
      <c r="C165">
        <v>7.3</v>
      </c>
      <c r="D165" t="s">
        <v>24</v>
      </c>
      <c r="E165" t="s">
        <v>127</v>
      </c>
      <c r="F165" s="9">
        <f>24.66*14.71</f>
        <v>362.74860000000001</v>
      </c>
      <c r="G165" s="9">
        <f>19.08*20.61</f>
        <v>393.23879999999997</v>
      </c>
    </row>
    <row r="166" spans="1:11">
      <c r="A166" t="s">
        <v>128</v>
      </c>
      <c r="B166" t="s">
        <v>10</v>
      </c>
      <c r="C166">
        <v>7.3</v>
      </c>
      <c r="D166" t="s">
        <v>24</v>
      </c>
      <c r="E166" t="s">
        <v>127</v>
      </c>
      <c r="F166" s="9">
        <f>18.65*15.41</f>
        <v>287.3965</v>
      </c>
      <c r="G166" s="9">
        <f>22.59*15.11</f>
        <v>341.3349</v>
      </c>
    </row>
    <row r="167" spans="1:11">
      <c r="A167" t="s">
        <v>129</v>
      </c>
      <c r="B167" t="s">
        <v>6</v>
      </c>
      <c r="C167">
        <v>7.3</v>
      </c>
      <c r="D167" t="s">
        <v>24</v>
      </c>
      <c r="E167" t="s">
        <v>127</v>
      </c>
      <c r="F167" s="9">
        <f>16.35*18.13</f>
        <v>296.4255</v>
      </c>
      <c r="G167" s="9">
        <f>18*16.33</f>
        <v>293.93999999999994</v>
      </c>
    </row>
    <row r="168" spans="1:11">
      <c r="A168" t="s">
        <v>130</v>
      </c>
      <c r="B168" t="s">
        <v>10</v>
      </c>
      <c r="C168">
        <v>6.7</v>
      </c>
      <c r="D168" t="s">
        <v>7</v>
      </c>
      <c r="E168" t="s">
        <v>127</v>
      </c>
      <c r="F168" s="9">
        <f>17.77*15.7</f>
        <v>278.98899999999998</v>
      </c>
      <c r="G168" s="9">
        <f>16.81*18.99</f>
        <v>319.22189999999995</v>
      </c>
    </row>
    <row r="169" spans="1:11">
      <c r="A169" t="s">
        <v>131</v>
      </c>
      <c r="B169" t="s">
        <v>10</v>
      </c>
      <c r="C169">
        <v>6.7</v>
      </c>
      <c r="D169" t="s">
        <v>7</v>
      </c>
      <c r="E169" t="s">
        <v>127</v>
      </c>
      <c r="F169" s="9">
        <f>15.82*21.5</f>
        <v>340.13</v>
      </c>
      <c r="G169" s="9">
        <f>16.8*18.84</f>
        <v>316.512</v>
      </c>
    </row>
    <row r="170" spans="1:11">
      <c r="A170" t="s">
        <v>132</v>
      </c>
      <c r="B170" t="s">
        <v>6</v>
      </c>
      <c r="C170">
        <v>6.7</v>
      </c>
      <c r="D170" t="s">
        <v>7</v>
      </c>
      <c r="E170" t="s">
        <v>127</v>
      </c>
      <c r="F170" s="9">
        <f>20.62*14.82</f>
        <v>305.58840000000004</v>
      </c>
      <c r="G170" s="9">
        <f>19.48*16.37</f>
        <v>318.88760000000002</v>
      </c>
    </row>
    <row r="171" spans="1:11">
      <c r="A171" t="s">
        <v>188</v>
      </c>
      <c r="B171" t="s">
        <v>6</v>
      </c>
      <c r="C171">
        <v>6.7</v>
      </c>
      <c r="D171" t="s">
        <v>7</v>
      </c>
      <c r="E171" t="s">
        <v>127</v>
      </c>
      <c r="F171" s="9">
        <f>17.57*18.1</f>
        <v>318.01700000000005</v>
      </c>
      <c r="G171" s="9">
        <f>17.79*14.38</f>
        <v>255.8202</v>
      </c>
    </row>
    <row r="172" spans="1:11">
      <c r="A172" t="s">
        <v>133</v>
      </c>
      <c r="B172" t="s">
        <v>10</v>
      </c>
      <c r="C172">
        <v>6.1</v>
      </c>
      <c r="D172" t="s">
        <v>7</v>
      </c>
      <c r="E172" t="s">
        <v>127</v>
      </c>
      <c r="F172" s="9">
        <f>10.88*14.01</f>
        <v>152.4288</v>
      </c>
      <c r="G172" s="9">
        <f>21.16*12.97</f>
        <v>274.4452</v>
      </c>
    </row>
    <row r="173" spans="1:11">
      <c r="A173" t="s">
        <v>134</v>
      </c>
      <c r="B173" t="s">
        <v>10</v>
      </c>
      <c r="C173">
        <v>6.1</v>
      </c>
      <c r="D173" t="s">
        <v>7</v>
      </c>
      <c r="E173" t="s">
        <v>127</v>
      </c>
      <c r="F173" s="9">
        <f>16.69*10.73</f>
        <v>179.08370000000002</v>
      </c>
      <c r="G173" s="9">
        <f>21.87*12.72</f>
        <v>278.18640000000005</v>
      </c>
    </row>
    <row r="174" spans="1:11">
      <c r="A174" t="s">
        <v>135</v>
      </c>
      <c r="B174" t="s">
        <v>6</v>
      </c>
      <c r="C174">
        <v>6.1</v>
      </c>
      <c r="D174" t="s">
        <v>7</v>
      </c>
      <c r="E174" t="s">
        <v>127</v>
      </c>
      <c r="F174" s="9">
        <f>18.12*15.42</f>
        <v>279.41040000000004</v>
      </c>
      <c r="G174" s="9">
        <f>14.79*19.12</f>
        <v>282.78480000000002</v>
      </c>
    </row>
    <row r="175" spans="1:11">
      <c r="A175" t="s">
        <v>189</v>
      </c>
      <c r="B175" t="s">
        <v>6</v>
      </c>
      <c r="C175">
        <v>6.1</v>
      </c>
      <c r="D175" t="s">
        <v>7</v>
      </c>
      <c r="E175" t="s">
        <v>127</v>
      </c>
      <c r="F175" s="9">
        <f>13.61*18.18</f>
        <v>247.42979999999997</v>
      </c>
      <c r="G175" s="9">
        <f>15.73*14.75</f>
        <v>232.01750000000001</v>
      </c>
    </row>
    <row r="176" spans="1:11">
      <c r="A176" t="s">
        <v>136</v>
      </c>
      <c r="B176" t="s">
        <v>6</v>
      </c>
      <c r="C176">
        <v>6.1</v>
      </c>
      <c r="D176" t="s">
        <v>7</v>
      </c>
      <c r="E176" t="s">
        <v>127</v>
      </c>
      <c r="F176" s="9">
        <f>16.28*20.01</f>
        <v>325.76280000000003</v>
      </c>
      <c r="G176" s="9">
        <f>19.45*15.89</f>
        <v>309.06049999999999</v>
      </c>
    </row>
    <row r="177" spans="1:11">
      <c r="A177" t="s">
        <v>190</v>
      </c>
      <c r="B177" t="s">
        <v>10</v>
      </c>
      <c r="C177">
        <v>6</v>
      </c>
      <c r="D177" t="s">
        <v>7</v>
      </c>
      <c r="E177" t="s">
        <v>127</v>
      </c>
      <c r="F177" s="9">
        <f>16.93*17.55</f>
        <v>297.12150000000003</v>
      </c>
      <c r="G177" s="9">
        <f>15.65*24.46</f>
        <v>382.79900000000004</v>
      </c>
    </row>
    <row r="178" spans="1:11">
      <c r="A178" t="s">
        <v>137</v>
      </c>
      <c r="B178" t="s">
        <v>10</v>
      </c>
      <c r="C178">
        <v>6</v>
      </c>
      <c r="D178" t="s">
        <v>7</v>
      </c>
      <c r="E178" t="s">
        <v>127</v>
      </c>
      <c r="F178" s="9">
        <f>20.63*14.26</f>
        <v>294.18379999999996</v>
      </c>
      <c r="G178" s="9">
        <f>14.37*22.57</f>
        <v>324.33089999999999</v>
      </c>
    </row>
    <row r="179" spans="1:11">
      <c r="A179" t="s">
        <v>138</v>
      </c>
      <c r="B179" t="s">
        <v>6</v>
      </c>
      <c r="C179">
        <v>6</v>
      </c>
      <c r="D179" t="s">
        <v>7</v>
      </c>
      <c r="E179" t="s">
        <v>127</v>
      </c>
      <c r="F179" s="9">
        <f>18.59*15.06</f>
        <v>279.96539999999999</v>
      </c>
      <c r="G179" s="9">
        <f>17.99*21.31</f>
        <v>383.36689999999993</v>
      </c>
    </row>
    <row r="180" spans="1:11">
      <c r="A180" t="s">
        <v>191</v>
      </c>
      <c r="B180" t="s">
        <v>6</v>
      </c>
      <c r="C180">
        <v>6</v>
      </c>
      <c r="D180" t="s">
        <v>7</v>
      </c>
      <c r="E180" t="s">
        <v>127</v>
      </c>
      <c r="F180" s="9">
        <f>15.73*17.05</f>
        <v>268.19650000000001</v>
      </c>
      <c r="G180" s="9">
        <f>14.25*15.8</f>
        <v>225.15</v>
      </c>
    </row>
    <row r="181" spans="1:11">
      <c r="A181" t="s">
        <v>139</v>
      </c>
      <c r="B181" t="s">
        <v>6</v>
      </c>
      <c r="C181">
        <v>6</v>
      </c>
      <c r="D181" t="s">
        <v>7</v>
      </c>
      <c r="E181" t="s">
        <v>127</v>
      </c>
      <c r="F181" s="9">
        <f>19.43*16.03</f>
        <v>311.46289999999999</v>
      </c>
      <c r="G181" s="9">
        <f>19.2*14.78</f>
        <v>283.77599999999995</v>
      </c>
    </row>
    <row r="182" spans="1:11">
      <c r="A182" t="s">
        <v>140</v>
      </c>
      <c r="B182" t="s">
        <v>10</v>
      </c>
      <c r="C182">
        <v>6.1</v>
      </c>
      <c r="D182" t="s">
        <v>7</v>
      </c>
      <c r="E182" t="s">
        <v>127</v>
      </c>
      <c r="F182" s="9">
        <f>20.68*16.06</f>
        <v>332.12079999999997</v>
      </c>
      <c r="G182" s="9">
        <f>18.42*14.58</f>
        <v>268.56360000000001</v>
      </c>
    </row>
    <row r="183" spans="1:11">
      <c r="A183" t="s">
        <v>141</v>
      </c>
      <c r="B183" t="s">
        <v>10</v>
      </c>
      <c r="C183">
        <v>6.1</v>
      </c>
      <c r="D183" t="s">
        <v>7</v>
      </c>
      <c r="E183" t="s">
        <v>127</v>
      </c>
      <c r="F183" s="9">
        <f>17.57*15.18</f>
        <v>266.71260000000001</v>
      </c>
      <c r="G183" s="9">
        <f>17.74*20.88</f>
        <v>370.41119999999995</v>
      </c>
    </row>
    <row r="184" spans="1:11">
      <c r="A184" t="s">
        <v>142</v>
      </c>
      <c r="B184" t="s">
        <v>10</v>
      </c>
      <c r="C184">
        <v>13</v>
      </c>
      <c r="D184" t="s">
        <v>24</v>
      </c>
      <c r="E184" t="s">
        <v>127</v>
      </c>
      <c r="F184" s="9">
        <f>21.09*16.93</f>
        <v>357.05369999999999</v>
      </c>
      <c r="G184" s="9">
        <f>24.19*19.67</f>
        <v>475.81730000000005</v>
      </c>
      <c r="H184">
        <v>4.45</v>
      </c>
      <c r="I184">
        <v>2.83</v>
      </c>
      <c r="J184">
        <v>10.8</v>
      </c>
      <c r="K184">
        <v>2.16</v>
      </c>
    </row>
    <row r="185" spans="1:11">
      <c r="A185" t="s">
        <v>192</v>
      </c>
      <c r="B185" t="s">
        <v>10</v>
      </c>
      <c r="C185">
        <v>13</v>
      </c>
      <c r="D185" t="s">
        <v>24</v>
      </c>
      <c r="E185" t="s">
        <v>127</v>
      </c>
      <c r="F185" s="9">
        <f>20.45*17.83</f>
        <v>364.62349999999998</v>
      </c>
      <c r="G185" s="9">
        <f>16.09*18.77</f>
        <v>302.0093</v>
      </c>
      <c r="H185">
        <v>6.33</v>
      </c>
      <c r="I185">
        <v>2.93</v>
      </c>
      <c r="J185">
        <v>6.4</v>
      </c>
      <c r="K185">
        <v>3.16</v>
      </c>
    </row>
    <row r="186" spans="1:11">
      <c r="A186" t="s">
        <v>193</v>
      </c>
      <c r="B186" t="s">
        <v>10</v>
      </c>
      <c r="C186">
        <v>11.3</v>
      </c>
      <c r="D186" t="s">
        <v>7</v>
      </c>
      <c r="E186" t="s">
        <v>127</v>
      </c>
      <c r="F186" s="9">
        <f>10.1*9.74</f>
        <v>98.373999999999995</v>
      </c>
      <c r="G186" s="9">
        <f>18.83*10.92</f>
        <v>205.62359999999998</v>
      </c>
      <c r="J186">
        <v>5.29</v>
      </c>
      <c r="K186">
        <v>21.4</v>
      </c>
    </row>
    <row r="187" spans="1:11">
      <c r="A187" t="s">
        <v>194</v>
      </c>
      <c r="B187" t="s">
        <v>10</v>
      </c>
      <c r="C187">
        <v>11.3</v>
      </c>
      <c r="D187" t="s">
        <v>7</v>
      </c>
      <c r="E187" t="s">
        <v>127</v>
      </c>
      <c r="F187" s="9">
        <f>21.02*16.67</f>
        <v>350.40340000000003</v>
      </c>
      <c r="G187" s="9">
        <f>25.71*17.79</f>
        <v>457.3809</v>
      </c>
      <c r="H187">
        <v>3.49</v>
      </c>
      <c r="I187">
        <v>3.91</v>
      </c>
      <c r="J187">
        <v>4.51</v>
      </c>
      <c r="K187">
        <v>1.81</v>
      </c>
    </row>
    <row r="188" spans="1:11">
      <c r="A188" t="s">
        <v>195</v>
      </c>
      <c r="B188" t="s">
        <v>10</v>
      </c>
      <c r="C188">
        <v>11.1</v>
      </c>
      <c r="D188" t="s">
        <v>7</v>
      </c>
      <c r="E188" t="s">
        <v>127</v>
      </c>
      <c r="F188" s="9">
        <f>26*17.55</f>
        <v>456.3</v>
      </c>
      <c r="G188" s="9">
        <f>21.35*15.81</f>
        <v>337.54350000000005</v>
      </c>
      <c r="H188">
        <v>4.0199999999999996</v>
      </c>
      <c r="I188">
        <v>6.99</v>
      </c>
      <c r="J188">
        <v>9.9600000000000009</v>
      </c>
      <c r="K188">
        <v>6.65</v>
      </c>
    </row>
    <row r="189" spans="1:11">
      <c r="A189" t="s">
        <v>196</v>
      </c>
      <c r="B189" t="s">
        <v>10</v>
      </c>
      <c r="C189">
        <v>11.1</v>
      </c>
      <c r="D189" t="s">
        <v>7</v>
      </c>
      <c r="E189" t="s">
        <v>127</v>
      </c>
      <c r="F189" s="9">
        <f>17.92*17.44</f>
        <v>312.52480000000003</v>
      </c>
      <c r="G189" s="9">
        <f>22.54*16.94</f>
        <v>381.82760000000002</v>
      </c>
      <c r="H189" s="12">
        <v>5.28</v>
      </c>
      <c r="I189">
        <v>5.45</v>
      </c>
      <c r="J189" s="12">
        <v>7.73</v>
      </c>
      <c r="K189">
        <v>5</v>
      </c>
    </row>
    <row r="190" spans="1:11">
      <c r="A190" t="s">
        <v>197</v>
      </c>
      <c r="B190" t="s">
        <v>10</v>
      </c>
      <c r="C190">
        <v>11.1</v>
      </c>
      <c r="D190" t="s">
        <v>7</v>
      </c>
      <c r="E190" t="s">
        <v>127</v>
      </c>
      <c r="F190" s="9">
        <f>17.45*22.49</f>
        <v>392.45049999999998</v>
      </c>
      <c r="G190" s="9">
        <f>18.9*17.78</f>
        <v>336.04199999999997</v>
      </c>
      <c r="H190" s="12">
        <v>5.04</v>
      </c>
      <c r="I190">
        <v>2.19</v>
      </c>
      <c r="J190" s="12">
        <v>8.59</v>
      </c>
      <c r="K190">
        <v>2.06</v>
      </c>
    </row>
    <row r="191" spans="1:11">
      <c r="A191" t="s">
        <v>198</v>
      </c>
      <c r="B191" t="s">
        <v>6</v>
      </c>
      <c r="C191">
        <v>11.1</v>
      </c>
      <c r="D191" t="s">
        <v>7</v>
      </c>
      <c r="E191" t="s">
        <v>127</v>
      </c>
      <c r="F191" s="9">
        <f>22.64*18.63</f>
        <v>421.78319999999997</v>
      </c>
      <c r="G191" s="9">
        <f>17.45*17.18</f>
        <v>299.791</v>
      </c>
      <c r="H191">
        <v>4.62</v>
      </c>
      <c r="I191" s="12">
        <v>6.34</v>
      </c>
      <c r="J191">
        <v>2.88</v>
      </c>
      <c r="K191" s="12">
        <v>3.34</v>
      </c>
    </row>
    <row r="192" spans="1:11">
      <c r="A192" t="s">
        <v>199</v>
      </c>
      <c r="B192" t="s">
        <v>10</v>
      </c>
      <c r="C192">
        <v>10.3</v>
      </c>
      <c r="D192" t="s">
        <v>7</v>
      </c>
      <c r="E192" t="s">
        <v>127</v>
      </c>
      <c r="F192" s="9">
        <f>22.84*20.15</f>
        <v>460.22599999999994</v>
      </c>
      <c r="G192" s="9">
        <f>18.17*20.93</f>
        <v>380.29810000000003</v>
      </c>
      <c r="H192">
        <v>3.41</v>
      </c>
      <c r="I192">
        <v>3.84</v>
      </c>
      <c r="J192">
        <v>3.09</v>
      </c>
      <c r="K192">
        <v>3.48</v>
      </c>
    </row>
    <row r="193" spans="1:11">
      <c r="A193" t="s">
        <v>200</v>
      </c>
      <c r="B193" t="s">
        <v>10</v>
      </c>
      <c r="C193">
        <v>7.7</v>
      </c>
      <c r="D193" t="s">
        <v>24</v>
      </c>
      <c r="E193" t="s">
        <v>127</v>
      </c>
      <c r="F193" s="9">
        <f>21.99*18.16</f>
        <v>399.33839999999998</v>
      </c>
      <c r="G193" s="9">
        <f>24.28*20.52</f>
        <v>498.22559999999999</v>
      </c>
      <c r="H193">
        <v>10.3</v>
      </c>
      <c r="I193">
        <v>1.32</v>
      </c>
      <c r="J193">
        <v>4.47</v>
      </c>
      <c r="K193">
        <v>3.56</v>
      </c>
    </row>
    <row r="194" spans="1:11">
      <c r="A194" t="s">
        <v>201</v>
      </c>
      <c r="B194" t="s">
        <v>10</v>
      </c>
      <c r="C194">
        <v>7.7</v>
      </c>
      <c r="D194" t="s">
        <v>24</v>
      </c>
      <c r="E194" t="s">
        <v>127</v>
      </c>
      <c r="F194" s="9">
        <f>19.36*17.11</f>
        <v>331.24959999999999</v>
      </c>
      <c r="G194" s="9">
        <f>23.75*19.38</f>
        <v>460.27499999999998</v>
      </c>
      <c r="H194">
        <v>5.98</v>
      </c>
      <c r="I194">
        <v>2.3199999999999998</v>
      </c>
      <c r="J194">
        <v>14.9</v>
      </c>
      <c r="K194">
        <v>0.68100000000000005</v>
      </c>
    </row>
    <row r="195" spans="1:11">
      <c r="A195" t="s">
        <v>202</v>
      </c>
      <c r="B195" t="s">
        <v>10</v>
      </c>
      <c r="C195">
        <v>7.7</v>
      </c>
      <c r="D195" t="s">
        <v>24</v>
      </c>
      <c r="E195" t="s">
        <v>127</v>
      </c>
      <c r="F195" s="9">
        <f>22.69*18.45</f>
        <v>418.63049999999998</v>
      </c>
      <c r="G195" s="9">
        <f>18.23*18.36</f>
        <v>334.70280000000002</v>
      </c>
      <c r="H195">
        <v>4.54</v>
      </c>
      <c r="I195">
        <v>2.2799999999999998</v>
      </c>
      <c r="J195">
        <v>6.71</v>
      </c>
      <c r="K195">
        <v>1.97</v>
      </c>
    </row>
    <row r="196" spans="1:11">
      <c r="A196" t="s">
        <v>203</v>
      </c>
      <c r="B196" t="s">
        <v>10</v>
      </c>
      <c r="C196">
        <v>7.7</v>
      </c>
      <c r="D196" t="s">
        <v>24</v>
      </c>
      <c r="E196" t="s">
        <v>127</v>
      </c>
      <c r="F196" s="9">
        <f>21.81*17.9</f>
        <v>390.39899999999994</v>
      </c>
      <c r="G196" s="9">
        <f>20.33*16.32</f>
        <v>331.78559999999999</v>
      </c>
      <c r="H196" s="12">
        <v>11.6</v>
      </c>
      <c r="I196" s="12">
        <v>2.56</v>
      </c>
      <c r="J196" s="12">
        <v>4.95</v>
      </c>
      <c r="K196" s="12">
        <v>2.5499999999999998</v>
      </c>
    </row>
    <row r="197" spans="1:11">
      <c r="A197" t="s">
        <v>204</v>
      </c>
      <c r="B197" t="s">
        <v>10</v>
      </c>
      <c r="C197">
        <v>7.7</v>
      </c>
      <c r="D197" t="s">
        <v>24</v>
      </c>
      <c r="E197" t="s">
        <v>127</v>
      </c>
      <c r="F197" s="9">
        <f>20.23*21.19</f>
        <v>428.67370000000005</v>
      </c>
      <c r="G197" s="9">
        <f>21.28*19.12</f>
        <v>406.87360000000007</v>
      </c>
      <c r="H197" s="12">
        <v>6.84</v>
      </c>
      <c r="I197" s="12">
        <v>3.98</v>
      </c>
      <c r="J197" s="12">
        <v>10.6</v>
      </c>
      <c r="K197" s="12">
        <v>4.32</v>
      </c>
    </row>
    <row r="198" spans="1:11">
      <c r="A198" t="s">
        <v>205</v>
      </c>
      <c r="B198" t="s">
        <v>10</v>
      </c>
      <c r="C198">
        <v>7.7</v>
      </c>
      <c r="D198" t="s">
        <v>24</v>
      </c>
      <c r="E198" t="s">
        <v>127</v>
      </c>
      <c r="F198" s="9">
        <f>17.38*21.43</f>
        <v>372.45339999999999</v>
      </c>
      <c r="G198" s="9">
        <f>23.7*19.47</f>
        <v>461.43899999999996</v>
      </c>
      <c r="H198">
        <v>8.0299999999999994</v>
      </c>
      <c r="I198">
        <v>1.45</v>
      </c>
      <c r="J198">
        <v>5.16</v>
      </c>
      <c r="K198">
        <v>0.35499999999999998</v>
      </c>
    </row>
    <row r="199" spans="1:11">
      <c r="A199" t="s">
        <v>143</v>
      </c>
      <c r="B199" t="s">
        <v>10</v>
      </c>
      <c r="C199">
        <v>14</v>
      </c>
      <c r="D199" t="s">
        <v>24</v>
      </c>
      <c r="E199" t="s">
        <v>144</v>
      </c>
    </row>
    <row r="200" spans="1:11">
      <c r="A200" t="s">
        <v>145</v>
      </c>
      <c r="B200" t="s">
        <v>6</v>
      </c>
      <c r="C200">
        <v>14</v>
      </c>
      <c r="D200" t="s">
        <v>24</v>
      </c>
      <c r="E200" t="s">
        <v>144</v>
      </c>
    </row>
    <row r="201" spans="1:11">
      <c r="A201" t="s">
        <v>146</v>
      </c>
      <c r="B201" t="s">
        <v>10</v>
      </c>
      <c r="C201">
        <v>12.7</v>
      </c>
      <c r="D201" t="s">
        <v>7</v>
      </c>
      <c r="E201" t="s">
        <v>144</v>
      </c>
    </row>
    <row r="202" spans="1:11">
      <c r="A202" t="s">
        <v>147</v>
      </c>
      <c r="B202" t="s">
        <v>6</v>
      </c>
      <c r="C202">
        <v>12.7</v>
      </c>
      <c r="D202" t="s">
        <v>7</v>
      </c>
      <c r="E202" t="s">
        <v>144</v>
      </c>
    </row>
    <row r="203" spans="1:11">
      <c r="A203" t="s">
        <v>148</v>
      </c>
      <c r="B203" t="s">
        <v>10</v>
      </c>
      <c r="C203">
        <v>10.9</v>
      </c>
      <c r="D203" t="s">
        <v>24</v>
      </c>
      <c r="E203" t="s">
        <v>144</v>
      </c>
    </row>
    <row r="204" spans="1:11">
      <c r="A204" t="s">
        <v>149</v>
      </c>
      <c r="B204" t="s">
        <v>6</v>
      </c>
      <c r="C204">
        <v>10.9</v>
      </c>
      <c r="D204" t="s">
        <v>24</v>
      </c>
      <c r="E204" t="s">
        <v>144</v>
      </c>
    </row>
    <row r="205" spans="1:11">
      <c r="A205" t="s">
        <v>150</v>
      </c>
      <c r="B205" t="s">
        <v>10</v>
      </c>
      <c r="C205">
        <v>9</v>
      </c>
      <c r="D205" t="s">
        <v>7</v>
      </c>
      <c r="E205" t="s">
        <v>144</v>
      </c>
    </row>
    <row r="206" spans="1:11">
      <c r="A206" t="s">
        <v>151</v>
      </c>
      <c r="B206" t="s">
        <v>6</v>
      </c>
      <c r="C206">
        <v>9</v>
      </c>
      <c r="D206" t="s">
        <v>7</v>
      </c>
      <c r="E206" t="s">
        <v>144</v>
      </c>
    </row>
    <row r="207" spans="1:11">
      <c r="A207" t="s">
        <v>212</v>
      </c>
      <c r="B207" t="s">
        <v>6</v>
      </c>
      <c r="C207">
        <v>9</v>
      </c>
      <c r="D207" t="s">
        <v>7</v>
      </c>
      <c r="E207" t="s">
        <v>144</v>
      </c>
    </row>
    <row r="208" spans="1:11">
      <c r="A208" t="s">
        <v>213</v>
      </c>
      <c r="B208" t="s">
        <v>6</v>
      </c>
      <c r="C208">
        <v>9</v>
      </c>
      <c r="D208" t="s">
        <v>7</v>
      </c>
      <c r="E208" t="s">
        <v>144</v>
      </c>
    </row>
  </sheetData>
  <sortState ref="A2:K208">
    <sortCondition ref="E2:E208"/>
    <sortCondition ref="A2:A20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6" sqref="D6"/>
    </sheetView>
  </sheetViews>
  <sheetFormatPr baseColWidth="10" defaultRowHeight="15" x14ac:dyDescent="0"/>
  <cols>
    <col min="1" max="1" width="12.83203125" customWidth="1"/>
    <col min="3" max="3" width="13.5" customWidth="1"/>
    <col min="4" max="4" width="13.83203125" customWidth="1"/>
  </cols>
  <sheetData>
    <row r="1" spans="1:7">
      <c r="A1" s="2" t="s">
        <v>4</v>
      </c>
      <c r="B1" s="6" t="s">
        <v>231</v>
      </c>
      <c r="C1" s="2" t="s">
        <v>229</v>
      </c>
      <c r="D1" s="2" t="s">
        <v>230</v>
      </c>
    </row>
    <row r="2" spans="1:7">
      <c r="A2" t="s">
        <v>8</v>
      </c>
      <c r="B2">
        <f>COUNTIF(combinedScreenData!E2:E208, "B16")</f>
        <v>86</v>
      </c>
      <c r="C2" s="7">
        <f>AVERAGEIFS(combinedScreenData!C2:C208, combinedScreenData!E2:E208, "B16")</f>
        <v>7.3279069767441918</v>
      </c>
      <c r="D2" s="7">
        <v>0.95642116772289687</v>
      </c>
    </row>
    <row r="3" spans="1:7">
      <c r="A3" t="s">
        <v>81</v>
      </c>
      <c r="B3">
        <f>COUNTIF(combinedScreenData!E2:E208, "B16PD1")</f>
        <v>19</v>
      </c>
      <c r="C3" s="7">
        <f>AVERAGEIFS(combinedScreenData!C2:C208, combinedScreenData!E2:E208, "B16PD1")</f>
        <v>7.4789473684210526</v>
      </c>
      <c r="D3" s="7">
        <v>0.99419366957929922</v>
      </c>
    </row>
    <row r="4" spans="1:7">
      <c r="A4" t="s">
        <v>95</v>
      </c>
      <c r="B4">
        <f>COUNTIF(combinedScreenData!E2:E208, "EL4")</f>
        <v>58</v>
      </c>
      <c r="C4" s="7">
        <f>AVERAGEIFS(combinedScreenData!C2:C208, combinedScreenData!E2:E208, "EL4")</f>
        <v>8.6017241379310398</v>
      </c>
      <c r="D4" s="7">
        <v>1.7453186889716583</v>
      </c>
    </row>
    <row r="5" spans="1:7">
      <c r="A5" t="s">
        <v>127</v>
      </c>
      <c r="B5">
        <f>COUNTIF(combinedScreenData!E2:E208, "EL4PD1")</f>
        <v>34</v>
      </c>
      <c r="C5" s="7">
        <f>AVERAGEIFS(combinedScreenData!C2:C208, combinedScreenData!E2:E208, "EL4PD1")</f>
        <v>7.9676470588235269</v>
      </c>
      <c r="D5" s="7">
        <v>2.2664510487778649</v>
      </c>
    </row>
    <row r="6" spans="1:7">
      <c r="A6" s="3" t="s">
        <v>144</v>
      </c>
      <c r="B6" s="3">
        <f>COUNTIF(combinedScreenData!E2:E208, "LLC")</f>
        <v>10</v>
      </c>
      <c r="C6" s="8">
        <f>AVERAGEIFS(combinedScreenData!C2:C208, combinedScreenData!E2:E208, "LLC")</f>
        <v>11.120000000000001</v>
      </c>
      <c r="D6" s="8">
        <v>2.099100336387512</v>
      </c>
    </row>
    <row r="7" spans="1:7">
      <c r="A7" t="s">
        <v>232</v>
      </c>
      <c r="B7">
        <f>SUM(B2:B6)</f>
        <v>207</v>
      </c>
      <c r="C7" s="7">
        <f>AVERAGE(combinedScreenData!C2:C208)</f>
        <v>7.9869565217391267</v>
      </c>
      <c r="D7" s="7">
        <f>STDEV(combinedScreenData!C2:C208)</f>
        <v>1.7635670805543679</v>
      </c>
    </row>
    <row r="9" spans="1:7">
      <c r="A9" s="2" t="s">
        <v>223</v>
      </c>
    </row>
    <row r="10" spans="1:7">
      <c r="A10" s="2" t="s">
        <v>3</v>
      </c>
      <c r="B10" s="2" t="s">
        <v>221</v>
      </c>
      <c r="C10" s="2" t="s">
        <v>222</v>
      </c>
      <c r="E10" s="4" t="s">
        <v>1</v>
      </c>
      <c r="F10" s="4" t="s">
        <v>221</v>
      </c>
      <c r="G10" s="4" t="s">
        <v>222</v>
      </c>
    </row>
    <row r="11" spans="1:7">
      <c r="A11" t="s">
        <v>7</v>
      </c>
      <c r="B11">
        <f>COUNTIF(combinedScreenData!D2:D208, "6070/12740")</f>
        <v>122</v>
      </c>
      <c r="C11" s="5">
        <f>B11/B7</f>
        <v>0.58937198067632846</v>
      </c>
      <c r="E11" t="s">
        <v>10</v>
      </c>
      <c r="F11">
        <f>COUNTIF(combinedScreenData!B2:B208, "M")</f>
        <v>116</v>
      </c>
      <c r="G11" s="5">
        <f>F11/B7</f>
        <v>0.56038647342995174</v>
      </c>
    </row>
    <row r="12" spans="1:7">
      <c r="A12" t="s">
        <v>24</v>
      </c>
      <c r="B12">
        <f>COUNTIF(combinedScreenData!D2:D208, "6113/12775")</f>
        <v>85</v>
      </c>
      <c r="C12" s="5">
        <f>B12/B7</f>
        <v>0.41062801932367149</v>
      </c>
      <c r="E12" t="s">
        <v>6</v>
      </c>
      <c r="F12">
        <f>COUNTIF(combinedScreenData!B2:B208, "F")</f>
        <v>91</v>
      </c>
      <c r="G12" s="5">
        <f>F12/B7</f>
        <v>0.43961352657004832</v>
      </c>
    </row>
    <row r="15" spans="1:7">
      <c r="A15" s="2" t="s">
        <v>224</v>
      </c>
    </row>
    <row r="16" spans="1:7">
      <c r="A16" s="2" t="s">
        <v>3</v>
      </c>
      <c r="B16" s="2" t="s">
        <v>221</v>
      </c>
      <c r="C16" s="2" t="s">
        <v>222</v>
      </c>
      <c r="E16" s="4" t="s">
        <v>1</v>
      </c>
      <c r="F16" s="4" t="s">
        <v>221</v>
      </c>
      <c r="G16" s="4" t="s">
        <v>222</v>
      </c>
    </row>
    <row r="17" spans="1:7">
      <c r="A17" t="s">
        <v>7</v>
      </c>
      <c r="B17">
        <f>COUNTIFS(combinedScreenData!D2:D208, "6070/12740", combinedScreenData!E2:E208, "B16")</f>
        <v>52</v>
      </c>
      <c r="C17" s="5">
        <f>B17/B2</f>
        <v>0.60465116279069764</v>
      </c>
      <c r="E17" t="s">
        <v>10</v>
      </c>
      <c r="F17">
        <f>COUNTIFS(combinedScreenData!B2:B208, "M", combinedScreenData!E2:E208, "B16")</f>
        <v>51</v>
      </c>
      <c r="G17" s="5">
        <f>F17/B2</f>
        <v>0.59302325581395354</v>
      </c>
    </row>
    <row r="18" spans="1:7">
      <c r="A18" t="s">
        <v>24</v>
      </c>
      <c r="B18">
        <f>COUNTIFS(combinedScreenData!D2:D208, "6113/12775", combinedScreenData!E2:E208, "B16")</f>
        <v>34</v>
      </c>
      <c r="C18" s="5">
        <f>B18/B2</f>
        <v>0.39534883720930231</v>
      </c>
      <c r="E18" t="s">
        <v>6</v>
      </c>
      <c r="F18">
        <f>COUNTIFS(combinedScreenData!B2:B208, "F", combinedScreenData!E2:E208, "B16")</f>
        <v>35</v>
      </c>
      <c r="G18" s="5">
        <f>F18/B2</f>
        <v>0.40697674418604651</v>
      </c>
    </row>
    <row r="21" spans="1:7">
      <c r="A21" s="2" t="s">
        <v>225</v>
      </c>
    </row>
    <row r="22" spans="1:7">
      <c r="A22" s="2" t="s">
        <v>3</v>
      </c>
      <c r="B22" s="2" t="s">
        <v>221</v>
      </c>
      <c r="C22" s="2" t="s">
        <v>222</v>
      </c>
      <c r="E22" s="4" t="s">
        <v>1</v>
      </c>
      <c r="F22" s="4" t="s">
        <v>221</v>
      </c>
      <c r="G22" s="4" t="s">
        <v>222</v>
      </c>
    </row>
    <row r="23" spans="1:7">
      <c r="A23" t="s">
        <v>7</v>
      </c>
      <c r="B23">
        <f>COUNTIFS(combinedScreenData!D2:D208, "6070/12740", combinedScreenData!E7:E213, "B16PD1")</f>
        <v>12</v>
      </c>
      <c r="C23" s="5">
        <f>B23/B3</f>
        <v>0.63157894736842102</v>
      </c>
      <c r="E23" t="s">
        <v>10</v>
      </c>
      <c r="F23">
        <f>COUNTIFS(combinedScreenData!B2:B208, "M", combinedScreenData!E7:E213, "B16PD1")</f>
        <v>8</v>
      </c>
      <c r="G23" s="5">
        <f>F23/B3</f>
        <v>0.42105263157894735</v>
      </c>
    </row>
    <row r="24" spans="1:7">
      <c r="A24" t="s">
        <v>24</v>
      </c>
      <c r="B24">
        <f>COUNTIFS(combinedScreenData!D2:D208, "6113/12775", combinedScreenData!E7:E213, "B16PD1")</f>
        <v>7</v>
      </c>
      <c r="C24" s="5">
        <f>B24/B3</f>
        <v>0.36842105263157893</v>
      </c>
      <c r="E24" t="s">
        <v>6</v>
      </c>
      <c r="F24">
        <f>COUNTIFS(combinedScreenData!B2:B208, "F", combinedScreenData!E7:E213, "B16PD1")</f>
        <v>11</v>
      </c>
      <c r="G24" s="5">
        <f>F24/B3</f>
        <v>0.57894736842105265</v>
      </c>
    </row>
    <row r="27" spans="1:7">
      <c r="A27" s="2" t="s">
        <v>226</v>
      </c>
    </row>
    <row r="28" spans="1:7">
      <c r="A28" s="2" t="s">
        <v>3</v>
      </c>
      <c r="B28" s="2" t="s">
        <v>221</v>
      </c>
      <c r="C28" s="2" t="s">
        <v>222</v>
      </c>
      <c r="E28" s="4" t="s">
        <v>1</v>
      </c>
      <c r="F28" s="4" t="s">
        <v>221</v>
      </c>
      <c r="G28" s="4" t="s">
        <v>222</v>
      </c>
    </row>
    <row r="29" spans="1:7">
      <c r="A29" t="s">
        <v>7</v>
      </c>
      <c r="B29">
        <f>COUNTIFS(combinedScreenData!D2:D208, "6070/12740", combinedScreenData!E12:E218, "EL4")</f>
        <v>31</v>
      </c>
      <c r="C29" s="5">
        <f>B29/B4</f>
        <v>0.53448275862068961</v>
      </c>
      <c r="E29" t="s">
        <v>10</v>
      </c>
      <c r="F29">
        <f>COUNTIFS(combinedScreenData!B2:B208, "M", combinedScreenData!E12:E218, "EL4")</f>
        <v>25</v>
      </c>
      <c r="G29" s="5">
        <f>F29/B4</f>
        <v>0.43103448275862066</v>
      </c>
    </row>
    <row r="30" spans="1:7">
      <c r="A30" t="s">
        <v>24</v>
      </c>
      <c r="B30">
        <f>COUNTIFS(combinedScreenData!D2:D208, "6113/12775", combinedScreenData!E12:E218, "EL4")</f>
        <v>27</v>
      </c>
      <c r="C30" s="5">
        <f>B30/B4</f>
        <v>0.46551724137931033</v>
      </c>
      <c r="E30" t="s">
        <v>6</v>
      </c>
      <c r="F30">
        <f>COUNTIFS(combinedScreenData!B2:B208, "F", combinedScreenData!E12:E218, "EL4")</f>
        <v>33</v>
      </c>
      <c r="G30" s="5">
        <f>F30/B4</f>
        <v>0.56896551724137934</v>
      </c>
    </row>
    <row r="33" spans="1:7">
      <c r="A33" s="2" t="s">
        <v>227</v>
      </c>
    </row>
    <row r="34" spans="1:7">
      <c r="A34" s="2" t="s">
        <v>3</v>
      </c>
      <c r="B34" s="2" t="s">
        <v>221</v>
      </c>
      <c r="C34" s="2" t="s">
        <v>222</v>
      </c>
      <c r="E34" s="4" t="s">
        <v>1</v>
      </c>
      <c r="F34" s="4" t="s">
        <v>221</v>
      </c>
      <c r="G34" s="4" t="s">
        <v>222</v>
      </c>
    </row>
    <row r="35" spans="1:7">
      <c r="A35" t="s">
        <v>7</v>
      </c>
      <c r="B35">
        <f>COUNTIFS(combinedScreenData!D2:D208, "6070/12740", combinedScreenData!E17:E223, "EL4PD1")</f>
        <v>24</v>
      </c>
      <c r="C35" s="5">
        <f>B35/B5</f>
        <v>0.70588235294117652</v>
      </c>
      <c r="E35" t="s">
        <v>10</v>
      </c>
      <c r="F35">
        <f>COUNTIFS(combinedScreenData!B2:B208, "M", combinedScreenData!E17:E223, "EL4PD1")</f>
        <v>21</v>
      </c>
      <c r="G35" s="5">
        <f>F35/B5</f>
        <v>0.61764705882352944</v>
      </c>
    </row>
    <row r="36" spans="1:7">
      <c r="A36" t="s">
        <v>24</v>
      </c>
      <c r="B36">
        <f>COUNTIFS(combinedScreenData!D2:D208, "6113/12775", combinedScreenData!E17:E223, "EL4PD1")</f>
        <v>10</v>
      </c>
      <c r="C36" s="5">
        <f>B36/B5</f>
        <v>0.29411764705882354</v>
      </c>
      <c r="E36" t="s">
        <v>6</v>
      </c>
      <c r="F36">
        <f>COUNTIFS(combinedScreenData!B2:B208, "F", combinedScreenData!E17:E223, "EL4PD1")</f>
        <v>13</v>
      </c>
      <c r="G36" s="5">
        <f>F36/B5</f>
        <v>0.38235294117647056</v>
      </c>
    </row>
    <row r="39" spans="1:7">
      <c r="A39" s="2" t="s">
        <v>228</v>
      </c>
    </row>
    <row r="40" spans="1:7">
      <c r="A40" s="2" t="s">
        <v>3</v>
      </c>
      <c r="B40" s="2" t="s">
        <v>221</v>
      </c>
      <c r="C40" s="2" t="s">
        <v>222</v>
      </c>
      <c r="E40" s="4" t="s">
        <v>1</v>
      </c>
      <c r="F40" s="4" t="s">
        <v>221</v>
      </c>
      <c r="G40" s="4" t="s">
        <v>222</v>
      </c>
    </row>
    <row r="41" spans="1:7">
      <c r="A41" t="s">
        <v>7</v>
      </c>
      <c r="B41">
        <f>COUNTIFS(combinedScreenData!D2:D208, "6070/12740", combinedScreenData!E22:E228, "LLC")</f>
        <v>8</v>
      </c>
      <c r="C41" s="5">
        <f>B41/B6</f>
        <v>0.8</v>
      </c>
      <c r="E41" t="s">
        <v>10</v>
      </c>
      <c r="F41">
        <f>COUNTIFS(combinedScreenData!B2:B208, "M", combinedScreenData!E22:E228, "LLC")</f>
        <v>7</v>
      </c>
      <c r="G41" s="5">
        <f>F41/B6</f>
        <v>0.7</v>
      </c>
    </row>
    <row r="42" spans="1:7">
      <c r="A42" t="s">
        <v>24</v>
      </c>
      <c r="B42">
        <f>COUNTIFS(combinedScreenData!D2:D208, "6113/12775", combinedScreenData!E22:E228, "LLC")</f>
        <v>2</v>
      </c>
      <c r="C42" s="5">
        <f>B42/B6</f>
        <v>0.2</v>
      </c>
      <c r="E42" t="s">
        <v>6</v>
      </c>
      <c r="F42">
        <f>COUNTIFS(combinedScreenData!B2:B208, "F", combinedScreenData!E22:E228, "LLC")</f>
        <v>3</v>
      </c>
      <c r="G42" s="5">
        <f>F42/B6</f>
        <v>0.3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combinedScreenData</vt:lpstr>
      <vt:lpstr>summary_stats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Rogers</dc:creator>
  <cp:lastModifiedBy>Laura Rogers</cp:lastModifiedBy>
  <dcterms:created xsi:type="dcterms:W3CDTF">2018-11-02T19:22:57Z</dcterms:created>
  <dcterms:modified xsi:type="dcterms:W3CDTF">2019-01-22T17:22:45Z</dcterms:modified>
</cp:coreProperties>
</file>